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data\Korisnici\ivo\Documents\Obrasci\DOH Obrazac 2023\"/>
    </mc:Choice>
  </mc:AlternateContent>
  <xr:revisionPtr revIDLastSave="0" documentId="13_ncr:1_{5BD4E16C-AD7C-457E-8D11-449199BD422E}" xr6:coauthVersionLast="47" xr6:coauthVersionMax="47" xr10:uidLastSave="{00000000-0000-0000-0000-000000000000}"/>
  <workbookProtection workbookAlgorithmName="SHA-512" workbookHashValue="vDPlHnzDRftt5YcD9G8KqiIwhd0HyjQ23PUGHZmGolrMUIzgTLvPvKJVlLYt7SpqPaogoAzUb+optwj2IlKZsQ==" workbookSaltValue="4FqcUPHHAQiviMPGs5yJJg==" workbookSpinCount="100000" lockStructure="1"/>
  <bookViews>
    <workbookView xWindow="-120" yWindow="-120" windowWidth="29040" windowHeight="17640" activeTab="9" xr2:uid="{00000000-000D-0000-FFFF-FFFF00000000}"/>
  </bookViews>
  <sheets>
    <sheet name="Str. 1" sheetId="2" r:id="rId1"/>
    <sheet name="Str. 2" sheetId="21" r:id="rId2"/>
    <sheet name="Str. 3" sheetId="3" r:id="rId3"/>
    <sheet name="Str. 4" sheetId="14" r:id="rId4"/>
    <sheet name="Str. 5" sheetId="4" r:id="rId5"/>
    <sheet name="Str. 6" sheetId="19" r:id="rId6"/>
    <sheet name="Str. 7" sheetId="13" r:id="rId7"/>
    <sheet name="Str. 8" sheetId="15" r:id="rId8"/>
    <sheet name="Str. 9" sheetId="17" r:id="rId9"/>
    <sheet name="uputa" sheetId="11" r:id="rId10"/>
    <sheet name="podaci" sheetId="18" state="hidden" r:id="rId11"/>
    <sheet name="bilješke" sheetId="20" r:id="rId12"/>
  </sheets>
  <definedNames>
    <definedName name="DaNe">podaci!$B$354:$B$356</definedName>
    <definedName name="Dohodak_4_1_1">'Str. 2'!$G$21</definedName>
    <definedName name="Dohodak_4_1_2">'Str. 2'!$G$34</definedName>
    <definedName name="Dohodak_4_1_3">'Str. 2'!$F$44</definedName>
    <definedName name="Dohodak_4_1_4">'Str. 3'!$D$9</definedName>
    <definedName name="Dohodak_4_1_5">'Str. 3'!$G$21</definedName>
    <definedName name="Dohodak_4_1_6">'Str. 3'!$D$30</definedName>
    <definedName name="Dohodak_4_1_7">'Str. 3'!$F$34</definedName>
    <definedName name="Dohodak_4_2_1">'Str. 4'!$G$17</definedName>
    <definedName name="Dohodak_4_2_2">'Str. 4'!$E$29</definedName>
    <definedName name="Dohodak_4_2_3">'Str. 4'!$F$33</definedName>
    <definedName name="Dohodak_4_3_1">'Str. 5'!$J$21</definedName>
    <definedName name="Dohodak_4_3_3">'Str. 5'!$J$25</definedName>
    <definedName name="Dohodak_4_3_7_1">'Str. 5'!$H$55</definedName>
    <definedName name="Dohodak_4_3_7_2">'Str. 5'!$H$56</definedName>
    <definedName name="Dohodak_4_3_8_5">'Str. 6'!$J$11</definedName>
    <definedName name="Dohodak_4_3_8_6">'Str. 6'!$J$12</definedName>
    <definedName name="Dohodak_5">'Str. 7'!$F$4</definedName>
    <definedName name="Dohodak_9_4_1">'Str. 8'!$F$27</definedName>
    <definedName name="Doprinos_4_3_8_10">'Str. 6'!$J$16</definedName>
    <definedName name="Doprinos_4_3_8_11">'Str. 6'!$J$17</definedName>
    <definedName name="Doprinos_4_3_8_9">'Str. 6'!$J$15</definedName>
    <definedName name="GodOsnovicaZaObvDoprinosa">podaci!$E$3</definedName>
    <definedName name="GranicaOsnoviceZa1StopuPoreza">podaci!$L$2</definedName>
    <definedName name="Gubitak_4_3_1">'Str. 5'!$H$21</definedName>
    <definedName name="GubitakGodina">podaci!$B$336:$B$342</definedName>
    <definedName name="Inozemni_4_1_3">'Str. 2'!$H$44</definedName>
    <definedName name="Inozemni_4_1_4">'Str. 3'!$G$9</definedName>
    <definedName name="Inozemni_4_1_6">'Str. 3'!$G$30</definedName>
    <definedName name="Inozemni_4_1_7">'Str. 3'!$H$34</definedName>
    <definedName name="Inozemni_4_2_2">'Str. 4'!$H$29</definedName>
    <definedName name="Inozemni_4_2_3">'Str. 4'!$H$33</definedName>
    <definedName name="Inozemni_4_3_1">'Str. 5'!$L$21</definedName>
    <definedName name="Inozemni_4_3_3">'Str. 5'!$L$25</definedName>
    <definedName name="Inozemni_5">'Str. 7'!$H$4</definedName>
    <definedName name="Invalid">podaci!$B$350:$B$352</definedName>
    <definedName name="Iznos_4_1_8_1">'Str. 3'!$E$39</definedName>
    <definedName name="Iznos_4_1_8_2">'Str. 3'!$E$40</definedName>
    <definedName name="MaxOdbitak">podaci!$E$2</definedName>
    <definedName name="Mjeseci">podaci!$B$358:$B$370</definedName>
    <definedName name="Mjeseci_4_3_8_3">'Str. 6'!$J$9</definedName>
    <definedName name="Mjeseci_4_3_8_4">'Str. 6'!$J$10</definedName>
    <definedName name="Mjeseci_9_7_2">'Str. 9'!$D$27</definedName>
    <definedName name="Mjesto_9_5_8">'Str. 9'!$C$5</definedName>
    <definedName name="novo_Dohodak_9_4_1">#REF!</definedName>
    <definedName name="novo_GodOsnovicaZaObvDoprinosa">#REF!</definedName>
    <definedName name="novo_GranicaOsnoviceZa1StopuPoreza">#REF!</definedName>
    <definedName name="novo_MaxOdbitak">#REF!</definedName>
    <definedName name="novo_Odbitak_9_4_2">#REF!</definedName>
    <definedName name="novo_Osnovica_9_4_3">#REF!</definedName>
    <definedName name="novo_Osnovica_9_5_1">#REF!</definedName>
    <definedName name="novo_Osnovica_9_5_2">#REF!</definedName>
    <definedName name="novo_Osnovica_9_5_3">#REF!</definedName>
    <definedName name="novo_Stopa_1">#REF!</definedName>
    <definedName name="novo_Stopa_2">#REF!</definedName>
    <definedName name="novo_UvecanjeOsnovnogOsobnogOdbitka">#REF!</definedName>
    <definedName name="Odbitak">podaci!$D$2</definedName>
    <definedName name="Odbitak_3_3">'Str. 1'!$P$52</definedName>
    <definedName name="Odbitak_9_1">'Str. 8'!$F$20</definedName>
    <definedName name="Odbitak_9_2">'Str. 8'!$F$22</definedName>
    <definedName name="Odbitak_9_3">'Str. 8'!$F$24</definedName>
    <definedName name="Odbitak_9_4_2">'Str. 8'!$F$28</definedName>
    <definedName name="OIB">'Str. 1'!$I$15</definedName>
    <definedName name="Osnovica_4_3_8_7">'Str. 6'!$J$13</definedName>
    <definedName name="Osnovica_4_3_8_8">'Str. 6'!$J$14</definedName>
    <definedName name="Osnovica_9_4_3">'Str. 8'!$F$29</definedName>
    <definedName name="Osnovica_9_5_1">'Str. 8'!$F$32</definedName>
    <definedName name="Osnovica_9_5_2">'Str. 8'!$F$33</definedName>
    <definedName name="Osnovica_9_5_3">'Str. 8'!$F$34</definedName>
    <definedName name="OsnovicaZaPredujam1">'Str. 9'!$E$36</definedName>
    <definedName name="OsnovicaZaPredujam2">'Str. 9'!$E$37</definedName>
    <definedName name="_xlnm.Print_Area" localSheetId="0">'Str. 1'!$B$2:$S$56</definedName>
    <definedName name="_xlnm.Print_Area" localSheetId="1">'Str. 2'!$B$2:$H$45</definedName>
    <definedName name="_xlnm.Print_Area" localSheetId="2">'Str. 3'!$B$2:$H$43</definedName>
    <definedName name="_xlnm.Print_Area" localSheetId="3">'Str. 4'!$B$2:$H$33</definedName>
    <definedName name="_xlnm.Print_Area" localSheetId="4">'Str. 5'!$B$2:$L$58</definedName>
    <definedName name="_xlnm.Print_Area" localSheetId="5">'Str. 6'!$B$2:$J$48</definedName>
    <definedName name="_xlnm.Print_Area" localSheetId="6">'Str. 7'!$B$2:$H$41</definedName>
    <definedName name="_xlnm.Print_Area" localSheetId="7">'Str. 8'!$B$2:$F$36</definedName>
    <definedName name="_xlnm.Print_Area" localSheetId="8">'Str. 9'!$B$2:$E$32</definedName>
    <definedName name="_xlnm.Print_Area" localSheetId="9">uputa!$B$2:$K$35</definedName>
    <definedName name="Porez_4_1_1">'Str. 2'!$H$21</definedName>
    <definedName name="Porez_4_1_2">'Str. 2'!$H$34</definedName>
    <definedName name="Porez_4_1_5">'Str. 3'!$H$21</definedName>
    <definedName name="Porez_4_2_1">'Str. 4'!$H$17</definedName>
    <definedName name="Porez_9_5_4">'Str. 9'!$E$2</definedName>
    <definedName name="Porez_9_5_5">'Str. 9'!$E$3</definedName>
    <definedName name="Porez_9_5_6">'Str. 9'!$E$4</definedName>
    <definedName name="Porez_9_5_8">'Str. 9'!$E$6</definedName>
    <definedName name="Porez_9_6_10">'Str. 9'!$E$19</definedName>
    <definedName name="Porez_9_6_11">'Str. 9'!$E$20</definedName>
    <definedName name="Porez_9_6_12">'Str. 9'!$E$21</definedName>
    <definedName name="Porez_9_6_8">'Str. 9'!$E$17</definedName>
    <definedName name="PPDS">podaci!$B$344:$B$348</definedName>
    <definedName name="Predujam_9_6_9">'Str. 9'!$E$18</definedName>
    <definedName name="Predujam_9_7_2">'Str. 9'!$E$27</definedName>
    <definedName name="Prirez_9_5_7">'Str. 9'!$E$5</definedName>
    <definedName name="PrirezListaGradova">podaci!$D$6:$E$334</definedName>
    <definedName name="PrirezMjesto">podaci!$D$6:$D$334</definedName>
    <definedName name="PrirezOdabir">podaci!$B$4</definedName>
    <definedName name="PrirezRbr">podaci!$B$6:$B$334</definedName>
    <definedName name="PrirezStopa">podaci!$E$6:$E$334</definedName>
    <definedName name="SljedecaGodina">podaci!$B$3</definedName>
    <definedName name="Stopa_1">'Str. 9'!$D$2</definedName>
    <definedName name="Stopa_2">'Str. 9'!$D$3</definedName>
    <definedName name="Stopa_4_3_8_10">'Str. 6'!$H$16</definedName>
    <definedName name="Stopa_4_3_8_11">'Str. 6'!$H$17</definedName>
    <definedName name="Stopa_4_3_8_9">'Str. 6'!$H$15</definedName>
    <definedName name="Stopa_9_5_7">'Str. 9'!$D$5</definedName>
    <definedName name="Stopa_9_5_9">'Str. 9'!$E$7</definedName>
    <definedName name="StopaZaPredujam1">'Str. 9'!$D$36</definedName>
    <definedName name="StopaZaPredujam2">'Str. 9'!$D$37</definedName>
    <definedName name="Stupanj_4_1_8_1">'Str. 3'!$C$39</definedName>
    <definedName name="Stupanj_4_1_8_2">'Str. 3'!$C$40</definedName>
    <definedName name="Tuzemni_4_1_3">'Str. 2'!$G$44</definedName>
    <definedName name="Tuzemni_4_1_4">'Str. 3'!$F$9</definedName>
    <definedName name="Tuzemni_4_1_6">'Str. 3'!$F$30</definedName>
    <definedName name="Tuzemni_4_1_7">'Str. 3'!$G$34</definedName>
    <definedName name="Tuzemni_4_2_2">'Str. 4'!$G$29</definedName>
    <definedName name="Tuzemni_4_2_3">'Str. 4'!$G$33</definedName>
    <definedName name="Tuzemni_4_3_1">'Str. 5'!$K$21</definedName>
    <definedName name="Tuzemni_4_3_3">'Str. 5'!$K$25</definedName>
    <definedName name="Tuzemni_5">'Str. 7'!$G$4</definedName>
    <definedName name="Udio_4_1_2">'Str. 2'!$J$34</definedName>
    <definedName name="Udio_4_1_4">'Str. 3'!$H$9</definedName>
    <definedName name="Udio_4_1_5">'Str. 3'!$J$21</definedName>
    <definedName name="Udio_4_1_6">'Str. 3'!$H$30</definedName>
    <definedName name="Udio_4_1_8_1">'Str. 3'!$G$39</definedName>
    <definedName name="Udio_4_1_8_2">'Str. 3'!$G$40</definedName>
    <definedName name="Udio_4_3_7_1">'Str. 5'!$K$55</definedName>
    <definedName name="Udio_4_3_7_2">'Str. 5'!$K$56</definedName>
    <definedName name="Udio_9_7_1">'Str. 9'!$E$26</definedName>
    <definedName name="Udio_9_7_1a">'Str. 9'!$E$26</definedName>
    <definedName name="Ukupno_4_3_5">'Str. 5'!$K$36</definedName>
    <definedName name="Umanjenje_4_3_2">'Str. 5'!$J$23</definedName>
    <definedName name="Umanjenje_9_6_1">'Str. 9'!$E$10</definedName>
    <definedName name="Umanjenje_9_6_2">'Str. 9'!$E$11</definedName>
    <definedName name="Umanjenje_9_6_3">'Str. 9'!$E$12</definedName>
    <definedName name="Umanjenje_9_6_4">'Str. 9'!$E$13</definedName>
    <definedName name="Umanjenje_9_6_5">'Str. 9'!$E$14</definedName>
    <definedName name="Umanjenje_9_6_6">'Str. 9'!$E$15</definedName>
    <definedName name="Umanjenje_9_6_7">'Str. 9'!$E$16</definedName>
    <definedName name="UpisP">podaci!$B$4</definedName>
    <definedName name="Uvecanje_9_5_3">'Str. 8'!#REF!</definedName>
    <definedName name="UvecanjeOsnovnogOsobnogOdbitka">podaci!$L$3</definedName>
    <definedName name="ZaGodinu">podaci!$B$2</definedName>
    <definedName name="ZaPovrat_9_6_14">'Str. 9'!$E$23</definedName>
    <definedName name="ZaUplatu_9_6_13">'Str. 9'!$E$22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5" l="1"/>
  <c r="E19" i="15"/>
  <c r="E18" i="15"/>
  <c r="E17" i="15"/>
  <c r="E16" i="15"/>
  <c r="E15" i="15"/>
  <c r="E14" i="15"/>
  <c r="E13" i="15"/>
  <c r="E12" i="15"/>
  <c r="E11" i="15"/>
  <c r="E10" i="15"/>
  <c r="E9" i="15"/>
  <c r="E8" i="15"/>
  <c r="B33" i="15"/>
  <c r="B34" i="15"/>
  <c r="M333" i="18"/>
  <c r="L333" i="18"/>
  <c r="M332" i="18"/>
  <c r="L332" i="18"/>
  <c r="M331" i="18"/>
  <c r="L331" i="18"/>
  <c r="M330" i="18"/>
  <c r="L330" i="18"/>
  <c r="M329" i="18"/>
  <c r="L329" i="18"/>
  <c r="M328" i="18"/>
  <c r="L328" i="18"/>
  <c r="M327" i="18"/>
  <c r="L327" i="18"/>
  <c r="M326" i="18"/>
  <c r="L326" i="18"/>
  <c r="M325" i="18"/>
  <c r="L325" i="18"/>
  <c r="M324" i="18"/>
  <c r="L324" i="18"/>
  <c r="M323" i="18"/>
  <c r="L323" i="18"/>
  <c r="M322" i="18"/>
  <c r="L322" i="18"/>
  <c r="M321" i="18"/>
  <c r="L321" i="18"/>
  <c r="M320" i="18"/>
  <c r="L320" i="18"/>
  <c r="M319" i="18"/>
  <c r="L319" i="18"/>
  <c r="M318" i="18"/>
  <c r="L318" i="18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13" i="18"/>
  <c r="B3" i="17"/>
  <c r="B2" i="17"/>
  <c r="D5" i="17"/>
  <c r="M317" i="18" l="1"/>
  <c r="L317" i="18"/>
  <c r="M316" i="18"/>
  <c r="L316" i="18"/>
  <c r="M315" i="18"/>
  <c r="L315" i="18"/>
  <c r="M314" i="18"/>
  <c r="L314" i="18"/>
  <c r="M313" i="18"/>
  <c r="L313" i="18"/>
  <c r="M312" i="18"/>
  <c r="L312" i="18"/>
  <c r="M311" i="18"/>
  <c r="L311" i="18"/>
  <c r="M310" i="18"/>
  <c r="L310" i="18"/>
  <c r="M309" i="18"/>
  <c r="L309" i="18"/>
  <c r="M308" i="18"/>
  <c r="L308" i="18"/>
  <c r="M307" i="18"/>
  <c r="L307" i="18"/>
  <c r="M306" i="18"/>
  <c r="L306" i="18"/>
  <c r="M305" i="18"/>
  <c r="L305" i="18"/>
  <c r="M304" i="18"/>
  <c r="L304" i="18"/>
  <c r="M303" i="18"/>
  <c r="L303" i="18"/>
  <c r="M302" i="18"/>
  <c r="L302" i="18"/>
  <c r="M301" i="18"/>
  <c r="L301" i="18"/>
  <c r="M300" i="18"/>
  <c r="L300" i="18"/>
  <c r="M299" i="18"/>
  <c r="L299" i="18"/>
  <c r="M298" i="18"/>
  <c r="L298" i="18"/>
  <c r="M297" i="18"/>
  <c r="L297" i="18"/>
  <c r="M296" i="18"/>
  <c r="L296" i="18"/>
  <c r="M295" i="18"/>
  <c r="L295" i="18"/>
  <c r="M294" i="18"/>
  <c r="L294" i="18"/>
  <c r="M293" i="18"/>
  <c r="L293" i="18"/>
  <c r="M292" i="18"/>
  <c r="L292" i="18"/>
  <c r="M291" i="18"/>
  <c r="L291" i="18"/>
  <c r="M290" i="18"/>
  <c r="L290" i="18"/>
  <c r="M289" i="18"/>
  <c r="L289" i="18"/>
  <c r="M288" i="18"/>
  <c r="L288" i="18"/>
  <c r="M287" i="18"/>
  <c r="L287" i="18"/>
  <c r="M286" i="18"/>
  <c r="L286" i="18"/>
  <c r="M285" i="18"/>
  <c r="L285" i="18"/>
  <c r="M284" i="18"/>
  <c r="L284" i="18"/>
  <c r="M283" i="18"/>
  <c r="L283" i="18"/>
  <c r="M282" i="18"/>
  <c r="L282" i="18"/>
  <c r="M281" i="18"/>
  <c r="L281" i="18"/>
  <c r="M280" i="18"/>
  <c r="L280" i="18"/>
  <c r="M279" i="18"/>
  <c r="L279" i="18"/>
  <c r="M278" i="18"/>
  <c r="L278" i="18"/>
  <c r="M277" i="18"/>
  <c r="L277" i="18"/>
  <c r="M276" i="18"/>
  <c r="L276" i="18"/>
  <c r="M275" i="18"/>
  <c r="L275" i="18"/>
  <c r="M274" i="18"/>
  <c r="L274" i="18"/>
  <c r="M273" i="18"/>
  <c r="L273" i="18"/>
  <c r="M272" i="18"/>
  <c r="L272" i="18"/>
  <c r="M271" i="18"/>
  <c r="L271" i="18"/>
  <c r="M270" i="18"/>
  <c r="L270" i="18"/>
  <c r="M269" i="18"/>
  <c r="L269" i="18"/>
  <c r="M268" i="18"/>
  <c r="L268" i="18"/>
  <c r="M267" i="18"/>
  <c r="L267" i="18"/>
  <c r="M266" i="18"/>
  <c r="L266" i="18"/>
  <c r="M265" i="18"/>
  <c r="L265" i="18"/>
  <c r="M264" i="18"/>
  <c r="L264" i="18"/>
  <c r="M263" i="18"/>
  <c r="L263" i="18"/>
  <c r="M262" i="18"/>
  <c r="L262" i="18"/>
  <c r="M261" i="18"/>
  <c r="L261" i="18"/>
  <c r="M260" i="18"/>
  <c r="L260" i="18"/>
  <c r="M259" i="18"/>
  <c r="L259" i="18"/>
  <c r="M258" i="18"/>
  <c r="L258" i="18"/>
  <c r="M257" i="18"/>
  <c r="L257" i="18"/>
  <c r="M256" i="18"/>
  <c r="L256" i="18"/>
  <c r="M255" i="18"/>
  <c r="L255" i="18"/>
  <c r="M254" i="18"/>
  <c r="L254" i="18"/>
  <c r="M253" i="18"/>
  <c r="L253" i="18"/>
  <c r="M252" i="18"/>
  <c r="L252" i="18"/>
  <c r="M251" i="18"/>
  <c r="L251" i="18"/>
  <c r="M250" i="18"/>
  <c r="L250" i="18"/>
  <c r="M249" i="18"/>
  <c r="L249" i="18"/>
  <c r="M248" i="18"/>
  <c r="L248" i="18"/>
  <c r="M247" i="18"/>
  <c r="L247" i="18"/>
  <c r="M246" i="18"/>
  <c r="L246" i="18"/>
  <c r="M245" i="18"/>
  <c r="L245" i="18"/>
  <c r="M244" i="18"/>
  <c r="L244" i="18"/>
  <c r="M243" i="18"/>
  <c r="L243" i="18"/>
  <c r="M242" i="18"/>
  <c r="L242" i="18"/>
  <c r="M241" i="18"/>
  <c r="L241" i="18"/>
  <c r="M240" i="18"/>
  <c r="L240" i="18"/>
  <c r="M239" i="18"/>
  <c r="L239" i="18"/>
  <c r="M238" i="18"/>
  <c r="L238" i="18"/>
  <c r="M237" i="18"/>
  <c r="L237" i="18"/>
  <c r="M236" i="18"/>
  <c r="L236" i="18"/>
  <c r="M235" i="18"/>
  <c r="L235" i="18"/>
  <c r="M234" i="18"/>
  <c r="L234" i="18"/>
  <c r="M233" i="18"/>
  <c r="L233" i="18"/>
  <c r="M232" i="18"/>
  <c r="L232" i="18"/>
  <c r="M231" i="18"/>
  <c r="L231" i="18"/>
  <c r="M230" i="18"/>
  <c r="L230" i="18"/>
  <c r="M229" i="18"/>
  <c r="L229" i="18"/>
  <c r="M228" i="18"/>
  <c r="L228" i="18"/>
  <c r="M227" i="18"/>
  <c r="L227" i="18"/>
  <c r="M226" i="18"/>
  <c r="L226" i="18"/>
  <c r="M225" i="18"/>
  <c r="L225" i="18"/>
  <c r="M224" i="18"/>
  <c r="L224" i="18"/>
  <c r="M223" i="18"/>
  <c r="L223" i="18"/>
  <c r="M222" i="18"/>
  <c r="L222" i="18"/>
  <c r="M221" i="18"/>
  <c r="L221" i="18"/>
  <c r="M220" i="18"/>
  <c r="L220" i="18"/>
  <c r="M219" i="18"/>
  <c r="L219" i="18"/>
  <c r="M218" i="18"/>
  <c r="L218" i="18"/>
  <c r="M217" i="18"/>
  <c r="L217" i="18"/>
  <c r="M216" i="18"/>
  <c r="L216" i="18"/>
  <c r="M215" i="18"/>
  <c r="L215" i="18"/>
  <c r="M214" i="18"/>
  <c r="L214" i="18"/>
  <c r="M213" i="18"/>
  <c r="L213" i="18"/>
  <c r="M212" i="18"/>
  <c r="L212" i="18"/>
  <c r="M211" i="18"/>
  <c r="L211" i="18"/>
  <c r="M210" i="18"/>
  <c r="L210" i="18"/>
  <c r="M209" i="18"/>
  <c r="L209" i="18"/>
  <c r="M208" i="18"/>
  <c r="L208" i="18"/>
  <c r="M207" i="18"/>
  <c r="L207" i="18"/>
  <c r="M206" i="18"/>
  <c r="L206" i="18"/>
  <c r="M205" i="18"/>
  <c r="L205" i="18"/>
  <c r="M204" i="18"/>
  <c r="L204" i="18"/>
  <c r="M203" i="18"/>
  <c r="L203" i="18"/>
  <c r="M202" i="18"/>
  <c r="L202" i="18"/>
  <c r="M201" i="18"/>
  <c r="L201" i="18"/>
  <c r="M200" i="18"/>
  <c r="L200" i="18"/>
  <c r="M199" i="18"/>
  <c r="L199" i="18"/>
  <c r="M198" i="18"/>
  <c r="L198" i="18"/>
  <c r="M197" i="18"/>
  <c r="L197" i="18"/>
  <c r="M196" i="18"/>
  <c r="L196" i="18"/>
  <c r="M195" i="18"/>
  <c r="L195" i="18"/>
  <c r="M194" i="18"/>
  <c r="L194" i="18"/>
  <c r="M193" i="18"/>
  <c r="L193" i="18"/>
  <c r="M192" i="18"/>
  <c r="L192" i="18"/>
  <c r="M191" i="18"/>
  <c r="L191" i="18"/>
  <c r="M190" i="18"/>
  <c r="L190" i="18"/>
  <c r="M189" i="18"/>
  <c r="L189" i="18"/>
  <c r="M188" i="18"/>
  <c r="L188" i="18"/>
  <c r="M187" i="18"/>
  <c r="L187" i="18"/>
  <c r="M186" i="18"/>
  <c r="L186" i="18"/>
  <c r="M185" i="18"/>
  <c r="L185" i="18"/>
  <c r="M184" i="18"/>
  <c r="L184" i="18"/>
  <c r="M183" i="18"/>
  <c r="L183" i="18"/>
  <c r="M182" i="18"/>
  <c r="L182" i="18"/>
  <c r="M181" i="18"/>
  <c r="L181" i="18"/>
  <c r="M180" i="18"/>
  <c r="L180" i="18"/>
  <c r="M179" i="18"/>
  <c r="L179" i="18"/>
  <c r="M178" i="18"/>
  <c r="L178" i="18"/>
  <c r="M177" i="18"/>
  <c r="L177" i="18"/>
  <c r="M176" i="18"/>
  <c r="L176" i="18"/>
  <c r="M175" i="18"/>
  <c r="L175" i="18"/>
  <c r="M174" i="18"/>
  <c r="L174" i="18"/>
  <c r="M173" i="18"/>
  <c r="L173" i="18"/>
  <c r="M172" i="18"/>
  <c r="L172" i="18"/>
  <c r="M171" i="18"/>
  <c r="L171" i="18"/>
  <c r="M170" i="18"/>
  <c r="L170" i="18"/>
  <c r="M169" i="18"/>
  <c r="L169" i="18"/>
  <c r="M168" i="18"/>
  <c r="L168" i="18"/>
  <c r="M167" i="18"/>
  <c r="L167" i="18"/>
  <c r="M166" i="18"/>
  <c r="L166" i="18"/>
  <c r="M165" i="18"/>
  <c r="L165" i="18"/>
  <c r="M164" i="18"/>
  <c r="L164" i="18"/>
  <c r="M163" i="18"/>
  <c r="L163" i="18"/>
  <c r="M162" i="18"/>
  <c r="L162" i="18"/>
  <c r="M161" i="18"/>
  <c r="L161" i="18"/>
  <c r="M160" i="18"/>
  <c r="L160" i="18"/>
  <c r="M159" i="18"/>
  <c r="L159" i="18"/>
  <c r="M158" i="18"/>
  <c r="L158" i="18"/>
  <c r="M157" i="18"/>
  <c r="L157" i="18"/>
  <c r="M156" i="18"/>
  <c r="L156" i="18"/>
  <c r="M155" i="18"/>
  <c r="L155" i="18"/>
  <c r="M154" i="18"/>
  <c r="L154" i="18"/>
  <c r="M153" i="18"/>
  <c r="L153" i="18"/>
  <c r="M152" i="18"/>
  <c r="L152" i="18"/>
  <c r="M151" i="18"/>
  <c r="L151" i="18"/>
  <c r="M150" i="18"/>
  <c r="L150" i="18"/>
  <c r="M149" i="18"/>
  <c r="L149" i="18"/>
  <c r="M148" i="18"/>
  <c r="L148" i="18"/>
  <c r="M147" i="18"/>
  <c r="L147" i="18"/>
  <c r="M146" i="18"/>
  <c r="L146" i="18"/>
  <c r="M145" i="18"/>
  <c r="L145" i="18"/>
  <c r="M144" i="18"/>
  <c r="L144" i="18"/>
  <c r="M143" i="18"/>
  <c r="L143" i="18"/>
  <c r="M142" i="18"/>
  <c r="L142" i="18"/>
  <c r="M141" i="18"/>
  <c r="L141" i="18"/>
  <c r="M140" i="18"/>
  <c r="L140" i="18"/>
  <c r="M139" i="18"/>
  <c r="L139" i="18"/>
  <c r="M110" i="18"/>
  <c r="L110" i="18"/>
  <c r="M109" i="18"/>
  <c r="L109" i="18"/>
  <c r="M108" i="18"/>
  <c r="L108" i="18"/>
  <c r="M107" i="18"/>
  <c r="L107" i="18"/>
  <c r="M106" i="18"/>
  <c r="L106" i="18"/>
  <c r="M105" i="18"/>
  <c r="L105" i="18"/>
  <c r="M104" i="18"/>
  <c r="L104" i="18"/>
  <c r="M103" i="18"/>
  <c r="L103" i="18"/>
  <c r="M102" i="18"/>
  <c r="L102" i="18"/>
  <c r="M101" i="18"/>
  <c r="L101" i="18"/>
  <c r="M100" i="18"/>
  <c r="L100" i="18"/>
  <c r="M138" i="18"/>
  <c r="L138" i="18"/>
  <c r="M137" i="18"/>
  <c r="L137" i="18"/>
  <c r="M136" i="18"/>
  <c r="L136" i="18"/>
  <c r="M135" i="18"/>
  <c r="L135" i="18"/>
  <c r="M134" i="18"/>
  <c r="L134" i="18"/>
  <c r="M133" i="18"/>
  <c r="L133" i="18"/>
  <c r="M132" i="18"/>
  <c r="L132" i="18"/>
  <c r="M131" i="18"/>
  <c r="L131" i="18"/>
  <c r="M130" i="18"/>
  <c r="L130" i="18"/>
  <c r="M129" i="18"/>
  <c r="L129" i="18"/>
  <c r="M128" i="18"/>
  <c r="L128" i="18"/>
  <c r="M127" i="18"/>
  <c r="L127" i="18"/>
  <c r="M126" i="18"/>
  <c r="L126" i="18"/>
  <c r="M125" i="18"/>
  <c r="L125" i="18"/>
  <c r="M124" i="18"/>
  <c r="L124" i="18"/>
  <c r="M123" i="18"/>
  <c r="L123" i="18"/>
  <c r="M122" i="18"/>
  <c r="L122" i="18"/>
  <c r="M121" i="18"/>
  <c r="L121" i="18"/>
  <c r="M120" i="18"/>
  <c r="L120" i="18"/>
  <c r="M119" i="18"/>
  <c r="L119" i="18"/>
  <c r="M118" i="18"/>
  <c r="L118" i="18"/>
  <c r="M117" i="18"/>
  <c r="L117" i="18"/>
  <c r="M116" i="18"/>
  <c r="L116" i="18"/>
  <c r="M115" i="18"/>
  <c r="L115" i="18"/>
  <c r="M114" i="18"/>
  <c r="L114" i="18"/>
  <c r="M113" i="18"/>
  <c r="L113" i="18"/>
  <c r="M112" i="18"/>
  <c r="L112" i="18"/>
  <c r="M111" i="18"/>
  <c r="L111" i="18"/>
  <c r="M99" i="18"/>
  <c r="L99" i="18"/>
  <c r="M98" i="18"/>
  <c r="L98" i="18"/>
  <c r="M97" i="18"/>
  <c r="L97" i="18"/>
  <c r="M96" i="18"/>
  <c r="L96" i="18"/>
  <c r="M95" i="18"/>
  <c r="L95" i="18"/>
  <c r="M94" i="18"/>
  <c r="L94" i="18"/>
  <c r="M93" i="18"/>
  <c r="L93" i="18"/>
  <c r="M92" i="18"/>
  <c r="L92" i="18"/>
  <c r="M91" i="18"/>
  <c r="L91" i="18"/>
  <c r="M90" i="18"/>
  <c r="L90" i="18"/>
  <c r="M89" i="18"/>
  <c r="L89" i="18"/>
  <c r="M88" i="18"/>
  <c r="L88" i="18"/>
  <c r="M87" i="18"/>
  <c r="L87" i="18"/>
  <c r="M86" i="18"/>
  <c r="L86" i="18"/>
  <c r="M85" i="18"/>
  <c r="L85" i="18"/>
  <c r="M84" i="18"/>
  <c r="L84" i="18"/>
  <c r="M83" i="18"/>
  <c r="L83" i="18"/>
  <c r="M82" i="18"/>
  <c r="L82" i="18"/>
  <c r="M81" i="18"/>
  <c r="L81" i="18"/>
  <c r="M80" i="18"/>
  <c r="L80" i="18"/>
  <c r="M79" i="18"/>
  <c r="L79" i="18"/>
  <c r="M78" i="18"/>
  <c r="L78" i="18"/>
  <c r="M77" i="18"/>
  <c r="L77" i="18"/>
  <c r="M76" i="18"/>
  <c r="L76" i="18"/>
  <c r="M75" i="18"/>
  <c r="L75" i="18"/>
  <c r="M74" i="18"/>
  <c r="L74" i="18"/>
  <c r="M73" i="18"/>
  <c r="L73" i="18"/>
  <c r="M72" i="18"/>
  <c r="L72" i="18"/>
  <c r="M71" i="18"/>
  <c r="L71" i="18"/>
  <c r="M70" i="18"/>
  <c r="L70" i="18"/>
  <c r="M69" i="18"/>
  <c r="L69" i="18"/>
  <c r="M68" i="18"/>
  <c r="L68" i="18"/>
  <c r="M67" i="18"/>
  <c r="L67" i="18"/>
  <c r="M66" i="18"/>
  <c r="L66" i="18"/>
  <c r="M65" i="18"/>
  <c r="L65" i="18"/>
  <c r="M64" i="18"/>
  <c r="L64" i="18"/>
  <c r="M63" i="18"/>
  <c r="L63" i="18"/>
  <c r="M62" i="18"/>
  <c r="L62" i="18"/>
  <c r="M61" i="18"/>
  <c r="L61" i="18"/>
  <c r="M60" i="18"/>
  <c r="L60" i="18"/>
  <c r="M59" i="18"/>
  <c r="L59" i="18"/>
  <c r="M58" i="18"/>
  <c r="L58" i="18"/>
  <c r="M57" i="18"/>
  <c r="L57" i="18"/>
  <c r="M56" i="18"/>
  <c r="L56" i="18"/>
  <c r="M55" i="18"/>
  <c r="L55" i="18"/>
  <c r="M54" i="18"/>
  <c r="L54" i="18"/>
  <c r="M53" i="18"/>
  <c r="L53" i="18"/>
  <c r="M52" i="18"/>
  <c r="L52" i="18"/>
  <c r="M51" i="18"/>
  <c r="L51" i="18"/>
  <c r="M50" i="18"/>
  <c r="L50" i="18"/>
  <c r="M49" i="18"/>
  <c r="L49" i="18"/>
  <c r="M48" i="18"/>
  <c r="L48" i="18"/>
  <c r="M47" i="18"/>
  <c r="L47" i="18"/>
  <c r="M46" i="18"/>
  <c r="L46" i="18"/>
  <c r="M45" i="18"/>
  <c r="L45" i="18"/>
  <c r="M44" i="18"/>
  <c r="L44" i="18"/>
  <c r="M43" i="18"/>
  <c r="L43" i="18"/>
  <c r="M42" i="18"/>
  <c r="L42" i="18"/>
  <c r="M41" i="18"/>
  <c r="L41" i="18"/>
  <c r="M40" i="18"/>
  <c r="L40" i="18"/>
  <c r="M39" i="18"/>
  <c r="L39" i="18"/>
  <c r="M38" i="18"/>
  <c r="L38" i="18"/>
  <c r="M37" i="18"/>
  <c r="L37" i="18"/>
  <c r="M36" i="18"/>
  <c r="L36" i="18"/>
  <c r="M35" i="18"/>
  <c r="L35" i="18"/>
  <c r="M34" i="18"/>
  <c r="L34" i="18"/>
  <c r="M33" i="18"/>
  <c r="L33" i="18"/>
  <c r="M32" i="18"/>
  <c r="L32" i="18"/>
  <c r="M31" i="18"/>
  <c r="L31" i="18"/>
  <c r="M30" i="18"/>
  <c r="L30" i="18"/>
  <c r="M29" i="18"/>
  <c r="L29" i="18"/>
  <c r="M28" i="18"/>
  <c r="L28" i="18"/>
  <c r="M27" i="18"/>
  <c r="L27" i="18"/>
  <c r="M26" i="18"/>
  <c r="L26" i="18"/>
  <c r="M25" i="18"/>
  <c r="L25" i="18"/>
  <c r="M24" i="18"/>
  <c r="L24" i="18"/>
  <c r="M23" i="18"/>
  <c r="L23" i="18"/>
  <c r="M22" i="18"/>
  <c r="L22" i="18"/>
  <c r="M21" i="18"/>
  <c r="L21" i="18"/>
  <c r="M20" i="18"/>
  <c r="L20" i="18"/>
  <c r="M19" i="18"/>
  <c r="L19" i="18"/>
  <c r="M18" i="18"/>
  <c r="L18" i="18"/>
  <c r="M17" i="18"/>
  <c r="L17" i="18"/>
  <c r="M16" i="18"/>
  <c r="L16" i="18"/>
  <c r="M15" i="18"/>
  <c r="L15" i="18"/>
  <c r="M14" i="18"/>
  <c r="L14" i="18"/>
  <c r="M8" i="18"/>
  <c r="L8" i="18"/>
  <c r="M11" i="18" l="1"/>
  <c r="L11" i="18"/>
  <c r="M10" i="18"/>
  <c r="L10" i="18"/>
  <c r="M9" i="18"/>
  <c r="L9" i="18"/>
  <c r="M6" i="18" l="1"/>
  <c r="L6" i="18"/>
  <c r="J11" i="19" l="1"/>
  <c r="J12" i="19" s="1"/>
  <c r="K43" i="4"/>
  <c r="E44" i="4" s="1"/>
  <c r="J13" i="19"/>
  <c r="L21" i="4"/>
  <c r="L25" i="4" s="1"/>
  <c r="K21" i="4"/>
  <c r="K25" i="4" s="1"/>
  <c r="M13" i="18"/>
  <c r="G5" i="17"/>
  <c r="B3" i="18"/>
  <c r="D26" i="11" s="1"/>
  <c r="B7" i="18"/>
  <c r="B8" i="18" s="1"/>
  <c r="B9" i="18" s="1"/>
  <c r="B10" i="18" s="1"/>
  <c r="B11" i="18" s="1"/>
  <c r="B12" i="18" s="1"/>
  <c r="L13" i="18"/>
  <c r="B337" i="18"/>
  <c r="B338" i="18" s="1"/>
  <c r="B339" i="18" s="1"/>
  <c r="B340" i="18" s="1"/>
  <c r="B341" i="18" s="1"/>
  <c r="B342" i="18" s="1"/>
  <c r="B2" i="11"/>
  <c r="B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4" i="4"/>
  <c r="H14" i="4"/>
  <c r="J14" i="4"/>
  <c r="H15" i="4"/>
  <c r="J15" i="4"/>
  <c r="H19" i="4"/>
  <c r="J19" i="4"/>
  <c r="H20" i="4"/>
  <c r="J20" i="4"/>
  <c r="K36" i="4"/>
  <c r="D13" i="4"/>
  <c r="H13" i="4" s="1"/>
  <c r="H21" i="4" s="1"/>
  <c r="D44" i="4"/>
  <c r="C44" i="4"/>
  <c r="H44" i="4" s="1"/>
  <c r="D45" i="4" s="1"/>
  <c r="D46" i="4"/>
  <c r="D47" i="4"/>
  <c r="D48" i="4"/>
  <c r="G8" i="14"/>
  <c r="G9" i="14"/>
  <c r="G10" i="14"/>
  <c r="G11" i="14"/>
  <c r="G12" i="14"/>
  <c r="G13" i="14"/>
  <c r="G14" i="14"/>
  <c r="G15" i="14"/>
  <c r="G16" i="14"/>
  <c r="H17" i="14"/>
  <c r="G33" i="14" s="1"/>
  <c r="E29" i="14"/>
  <c r="F29" i="14"/>
  <c r="G29" i="14"/>
  <c r="H29" i="14"/>
  <c r="H33" i="14" s="1"/>
  <c r="D9" i="3"/>
  <c r="E9" i="3"/>
  <c r="F9" i="3"/>
  <c r="G9" i="3"/>
  <c r="G16" i="3"/>
  <c r="G17" i="3"/>
  <c r="G21" i="3" s="1"/>
  <c r="G18" i="3"/>
  <c r="G19" i="3"/>
  <c r="G20" i="3"/>
  <c r="H21" i="3"/>
  <c r="D30" i="3"/>
  <c r="E30" i="3"/>
  <c r="F30" i="3"/>
  <c r="G30" i="3"/>
  <c r="G15" i="21"/>
  <c r="G21" i="21" s="1"/>
  <c r="G16" i="21"/>
  <c r="G17" i="21"/>
  <c r="G18" i="21"/>
  <c r="G19" i="21"/>
  <c r="G20" i="21"/>
  <c r="H21" i="21"/>
  <c r="G28" i="21"/>
  <c r="G34" i="21" s="1"/>
  <c r="G29" i="21"/>
  <c r="G30" i="21"/>
  <c r="G31" i="21"/>
  <c r="G32" i="21"/>
  <c r="G33" i="21"/>
  <c r="H34" i="21"/>
  <c r="F44" i="21"/>
  <c r="G44" i="21"/>
  <c r="H44" i="21"/>
  <c r="D8" i="2"/>
  <c r="P52" i="2"/>
  <c r="F22" i="15"/>
  <c r="K56" i="4"/>
  <c r="G17" i="14" l="1"/>
  <c r="F33" i="14" s="1"/>
  <c r="F20" i="15"/>
  <c r="F24" i="15" s="1"/>
  <c r="J13" i="4"/>
  <c r="J21" i="4" s="1"/>
  <c r="H34" i="3"/>
  <c r="H4" i="13" s="1"/>
  <c r="G34" i="3"/>
  <c r="G4" i="13" s="1"/>
  <c r="J14" i="19"/>
  <c r="J15" i="19" s="1"/>
  <c r="F34" i="3"/>
  <c r="D29" i="11"/>
  <c r="C45" i="4"/>
  <c r="K44" i="4"/>
  <c r="E45" i="4" s="1"/>
  <c r="E19" i="17" l="1"/>
  <c r="E18" i="17"/>
  <c r="J16" i="19"/>
  <c r="J17" i="19"/>
  <c r="I45" i="4"/>
  <c r="K45" i="4" s="1"/>
  <c r="E46" i="4" s="1"/>
  <c r="C46" i="4"/>
  <c r="C47" i="4" l="1"/>
  <c r="I46" i="4"/>
  <c r="K46" i="4" s="1"/>
  <c r="E47" i="4" s="1"/>
  <c r="C48" i="4" l="1"/>
  <c r="J23" i="4" s="1"/>
  <c r="J25" i="4" s="1"/>
  <c r="F4" i="13" s="1"/>
  <c r="I47" i="4"/>
  <c r="K47" i="4" s="1"/>
  <c r="E48" i="4" s="1"/>
  <c r="K55" i="4" l="1"/>
  <c r="G39" i="3"/>
  <c r="G40" i="3"/>
  <c r="J21" i="3"/>
  <c r="H9" i="3"/>
  <c r="J34" i="21"/>
  <c r="E26" i="17"/>
  <c r="H30" i="3"/>
  <c r="F27" i="15"/>
  <c r="K48" i="4"/>
  <c r="I48" i="4"/>
  <c r="F28" i="15" l="1"/>
  <c r="F29" i="15" s="1"/>
  <c r="F32" i="15" l="1"/>
  <c r="F33" i="15" s="1"/>
  <c r="E36" i="17"/>
  <c r="E2" i="17" l="1"/>
  <c r="E37" i="17"/>
  <c r="E38" i="17" s="1"/>
  <c r="F34" i="15"/>
  <c r="E3" i="17" l="1"/>
  <c r="E4" i="17" s="1"/>
  <c r="B334" i="18"/>
  <c r="E5" i="17" l="1"/>
  <c r="E6" i="17" s="1"/>
  <c r="E15" i="17" l="1"/>
  <c r="E16" i="17"/>
  <c r="E13" i="17"/>
  <c r="E7" i="17"/>
  <c r="E20" i="17" s="1"/>
  <c r="E10" i="17"/>
  <c r="E11" i="17"/>
  <c r="E21" i="17" l="1"/>
  <c r="E12" i="17"/>
  <c r="E17" i="17" l="1"/>
  <c r="E23" i="17" l="1"/>
  <c r="E22" i="17"/>
  <c r="E27" i="17" l="1"/>
  <c r="K27" i="4" s="1"/>
</calcChain>
</file>

<file path=xl/sharedStrings.xml><?xml version="1.0" encoding="utf-8"?>
<sst xmlns="http://schemas.openxmlformats.org/spreadsheetml/2006/main" count="1504" uniqueCount="664">
  <si>
    <t>R. br.</t>
  </si>
  <si>
    <t>1.</t>
  </si>
  <si>
    <t>2.</t>
  </si>
  <si>
    <t>3.</t>
  </si>
  <si>
    <t>4.</t>
  </si>
  <si>
    <t>5.</t>
  </si>
  <si>
    <t>6.</t>
  </si>
  <si>
    <t>7.</t>
  </si>
  <si>
    <t>8.</t>
  </si>
  <si>
    <t>3.1. PLAĆENE DOPRINOSE ZA ZDRAVSTVENO OSIGURANJE U TUZEMSTVU</t>
  </si>
  <si>
    <t>od</t>
  </si>
  <si>
    <t>REPUBLIKA HRVATSKA</t>
  </si>
  <si>
    <t>MINSTARSTVO FINANCIJA, POREZNA UPRAVA</t>
  </si>
  <si>
    <t>do</t>
  </si>
  <si>
    <t>RAZDOBLJE</t>
  </si>
  <si>
    <t>RAZDOBLJE INVALIDNOSTI</t>
  </si>
  <si>
    <t>4.1. DOHODAK OD NESAMOSTALNOG RADA</t>
  </si>
  <si>
    <t>6 (3-4-5)</t>
  </si>
  <si>
    <t>DOHODAK</t>
  </si>
  <si>
    <t xml:space="preserve"> 1. OPĆI PODACI</t>
  </si>
  <si>
    <t xml:space="preserve"> 4. PODACI O DOHOTKU I PLAĆENOM PREDUJMU POREZA I PRIREZA (u kunama i lipama)</t>
  </si>
  <si>
    <t xml:space="preserve"> 4.1. DOHODAK OD NESAMOSTALNOG RADA (PLAĆA I MIROVINA)</t>
  </si>
  <si>
    <t xml:space="preserve"> UKUPNO  4.1.1.</t>
  </si>
  <si>
    <t>OIB ISPLATITELJA</t>
  </si>
  <si>
    <t xml:space="preserve"> UKUPNO  4.1.2.</t>
  </si>
  <si>
    <t>STUPANJ INVALIDNOSTI HRVI</t>
  </si>
  <si>
    <t>IZNOS DOHOTKA</t>
  </si>
  <si>
    <t>OBVEZNI</t>
  </si>
  <si>
    <t>IZ PLAĆE</t>
  </si>
  <si>
    <t>DOPRINOSI</t>
  </si>
  <si>
    <t>DIO SD</t>
  </si>
  <si>
    <t>Dohodak / gubitak pojedinca</t>
  </si>
  <si>
    <t>Umanjenja dohotka</t>
  </si>
  <si>
    <t>/ uvećanje gubitka</t>
  </si>
  <si>
    <t>pojedinca</t>
  </si>
  <si>
    <t>ZAJEDNIČKI DOHODAK</t>
  </si>
  <si>
    <t>OIB nositelja</t>
  </si>
  <si>
    <t>zajedničke</t>
  </si>
  <si>
    <t>Iznos dohotka / gubitka</t>
  </si>
  <si>
    <t>6 (2-3+5)</t>
  </si>
  <si>
    <t>GUBITAK                   (&lt;0)</t>
  </si>
  <si>
    <t>DOHODAK                  (&gt; ili = 0)</t>
  </si>
  <si>
    <t>7 (2-3+5)</t>
  </si>
  <si>
    <t>UMANJENJE DOHOTKA ZA</t>
  </si>
  <si>
    <t>IZNOS</t>
  </si>
  <si>
    <t xml:space="preserve"> PLAĆE NOVOZAPOSLENIH OSOBA</t>
  </si>
  <si>
    <t xml:space="preserve"> IZDATKE ISTRAŽIVANJA I RAZVOJA</t>
  </si>
  <si>
    <t>GODINA</t>
  </si>
  <si>
    <t>Iznos</t>
  </si>
  <si>
    <t>prenesenog</t>
  </si>
  <si>
    <t>gubitka</t>
  </si>
  <si>
    <t>Umanjenje</t>
  </si>
  <si>
    <t>gubitka u tekućoj</t>
  </si>
  <si>
    <t>godini</t>
  </si>
  <si>
    <t>Iznos gubitka u</t>
  </si>
  <si>
    <t>tekućoj godini</t>
  </si>
  <si>
    <t>GUBITAK ZA PRIJENOS</t>
  </si>
  <si>
    <t>6 [(3-4) ili (3+5)]</t>
  </si>
  <si>
    <t xml:space="preserve"> 1.2. ADRESA (mjesto, ulica i kućni broj):</t>
  </si>
  <si>
    <t xml:space="preserve"> 1.1. IME I PREZIME / IME RODITELJA:</t>
  </si>
  <si>
    <t>IME I PREZIME I SRODSTVO</t>
  </si>
  <si>
    <t xml:space="preserve"> 1.3. OIB:</t>
  </si>
  <si>
    <t xml:space="preserve">  OTVOREN U (naziv i sjedište):</t>
  </si>
  <si>
    <t>DRŽAVA</t>
  </si>
  <si>
    <t>DA  /  NE</t>
  </si>
  <si>
    <t>HRVI DA / NE</t>
  </si>
  <si>
    <t>POSTOTAK INVALIDNOSTI</t>
  </si>
  <si>
    <t>(ispunjava HRVI)</t>
  </si>
  <si>
    <t>OIB</t>
  </si>
  <si>
    <t xml:space="preserve"> 2. PODACI O UZDRŽAVANIM ČLANOVIMA UŽE OBITELJI</t>
  </si>
  <si>
    <t xml:space="preserve"> 3. PODACI U UVEĆANJU OSOBNOG ODBITKA ZA</t>
  </si>
  <si>
    <t>Invalid (I ili I*)</t>
  </si>
  <si>
    <t>MJESTO</t>
  </si>
  <si>
    <t>Obrazac DOH</t>
  </si>
  <si>
    <t>ULICA I KUĆNI BROJ</t>
  </si>
  <si>
    <t>RAZDOBLJE KORIŠTENJA (od- do)</t>
  </si>
  <si>
    <t>Osobni odbitak dijeli se s osobom</t>
  </si>
  <si>
    <t>Postotak</t>
  </si>
  <si>
    <t>osobnog</t>
  </si>
  <si>
    <t>odbitka</t>
  </si>
  <si>
    <t>djelatnosti</t>
  </si>
  <si>
    <t>5 (3-4)</t>
  </si>
  <si>
    <t>PRIMICI</t>
  </si>
  <si>
    <t>IZDACI</t>
  </si>
  <si>
    <t>OBVEZNI DOPRINOSI IZ PRIMITAKA</t>
  </si>
  <si>
    <t>Primitaka trgovačkih putnika, agenata, akvizitera, športskih sudaca i delegata i dr.</t>
  </si>
  <si>
    <t>NAKNADA UMJETNIKA       I KULTURNIH DJELATNIKA              (za isporučeno umjetničko djelo)</t>
  </si>
  <si>
    <t>OSTALIH PRIMITAKA</t>
  </si>
  <si>
    <t>IZVOR DOHOTKA</t>
  </si>
  <si>
    <t>DRŽAVA IZVORA</t>
  </si>
  <si>
    <t>PRILOG UPO</t>
  </si>
  <si>
    <t>MJESEC</t>
  </si>
  <si>
    <t>P1</t>
  </si>
  <si>
    <t>P2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</si>
  <si>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</si>
  <si>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</si>
  <si>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</si>
  <si>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</si>
  <si>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</si>
  <si>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</si>
  <si>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</si>
  <si>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</si>
  <si>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</si>
  <si>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</si>
  <si>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</si>
  <si>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</si>
  <si>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 xml:space="preserve"> UKUPNO 9.1.</t>
  </si>
  <si>
    <t>UPLAĆENI POREZ I PRIREZ</t>
  </si>
  <si>
    <t>OPIS</t>
  </si>
  <si>
    <t>Nadnevak</t>
  </si>
  <si>
    <t>(potpis poreznog obveznika / opunomoćenika / poreznog savjetnika)</t>
  </si>
  <si>
    <t>Zagreb</t>
  </si>
  <si>
    <t>Osijek</t>
  </si>
  <si>
    <t>Velika Gorica</t>
  </si>
  <si>
    <t>Kravarsko</t>
  </si>
  <si>
    <t>Orle</t>
  </si>
  <si>
    <t>Pokupsko</t>
  </si>
  <si>
    <t>Dugo Selo</t>
  </si>
  <si>
    <t>Brckovljani</t>
  </si>
  <si>
    <t>Rugvica</t>
  </si>
  <si>
    <t>Ivanić Grad</t>
  </si>
  <si>
    <t>Kloštar Ivanić</t>
  </si>
  <si>
    <t>Križ</t>
  </si>
  <si>
    <t>Jastrebarsko</t>
  </si>
  <si>
    <t>Klinča Sela</t>
  </si>
  <si>
    <t>Krašić</t>
  </si>
  <si>
    <t>Pisarovina</t>
  </si>
  <si>
    <t>Žumberak</t>
  </si>
  <si>
    <t>Stupnik</t>
  </si>
  <si>
    <t>Sveti Ivan Zelina</t>
  </si>
  <si>
    <t>Bedenica</t>
  </si>
  <si>
    <t>Vrbovec</t>
  </si>
  <si>
    <t>Dubrava</t>
  </si>
  <si>
    <t>Farkaševac</t>
  </si>
  <si>
    <t>Gradec</t>
  </si>
  <si>
    <t>Preseka</t>
  </si>
  <si>
    <t>Rakovec</t>
  </si>
  <si>
    <t>Zaprešić</t>
  </si>
  <si>
    <t>Bistra</t>
  </si>
  <si>
    <t>Brdovec</t>
  </si>
  <si>
    <t>Dubravica</t>
  </si>
  <si>
    <t>Jakovlje</t>
  </si>
  <si>
    <t>Luka</t>
  </si>
  <si>
    <t>Marija Gorica</t>
  </si>
  <si>
    <t>Pušća</t>
  </si>
  <si>
    <t>Klanjec</t>
  </si>
  <si>
    <t>Pregrada</t>
  </si>
  <si>
    <t>Veliko Trgovišće</t>
  </si>
  <si>
    <t>Zlatar</t>
  </si>
  <si>
    <t>Zlatar Bistrica</t>
  </si>
  <si>
    <t>Hrvatska Kostajnica</t>
  </si>
  <si>
    <t>Kutina</t>
  </si>
  <si>
    <t>Popovača</t>
  </si>
  <si>
    <t>Novska</t>
  </si>
  <si>
    <t>Lipovljani</t>
  </si>
  <si>
    <t>Petrinja</t>
  </si>
  <si>
    <t>Duga Resa</t>
  </si>
  <si>
    <t>Karlovac</t>
  </si>
  <si>
    <t>Ozalj</t>
  </si>
  <si>
    <t>Ribnik</t>
  </si>
  <si>
    <t>Slunj</t>
  </si>
  <si>
    <t>Rakovica</t>
  </si>
  <si>
    <t>Vojnić</t>
  </si>
  <si>
    <t>Ivanec</t>
  </si>
  <si>
    <t>Bednja</t>
  </si>
  <si>
    <t>Donja Voća</t>
  </si>
  <si>
    <t>Klenovnik</t>
  </si>
  <si>
    <t>Lepoglava</t>
  </si>
  <si>
    <t>Ludbreg</t>
  </si>
  <si>
    <t>Mali Bukovec</t>
  </si>
  <si>
    <t>Veliki Bukovec</t>
  </si>
  <si>
    <t>Sveti Đurđ</t>
  </si>
  <si>
    <t>Novi Marof</t>
  </si>
  <si>
    <t>Breznica</t>
  </si>
  <si>
    <t>Varaždinske Toplice</t>
  </si>
  <si>
    <t>Visoko</t>
  </si>
  <si>
    <t>Varaždin</t>
  </si>
  <si>
    <t>Beretinec</t>
  </si>
  <si>
    <t>Cestica</t>
  </si>
  <si>
    <t>Sračinec</t>
  </si>
  <si>
    <t>Trnovec Bartolovečki</t>
  </si>
  <si>
    <t>Vidovec</t>
  </si>
  <si>
    <t>Vinica</t>
  </si>
  <si>
    <t>Križevci</t>
  </si>
  <si>
    <t>Bjelovar</t>
  </si>
  <si>
    <t>Kapela</t>
  </si>
  <si>
    <t>Čazma</t>
  </si>
  <si>
    <t>Dežanovac</t>
  </si>
  <si>
    <t>Končanica</t>
  </si>
  <si>
    <t>Garešnica</t>
  </si>
  <si>
    <t>Grubišno Polje</t>
  </si>
  <si>
    <t>Crikvenica</t>
  </si>
  <si>
    <t>Novi Vinodolski</t>
  </si>
  <si>
    <t>Čabar</t>
  </si>
  <si>
    <t>Delnice</t>
  </si>
  <si>
    <t>Fužine</t>
  </si>
  <si>
    <t>Mrkopalj</t>
  </si>
  <si>
    <t>Ravna Gora</t>
  </si>
  <si>
    <t>Opatija</t>
  </si>
  <si>
    <t>Rijeka</t>
  </si>
  <si>
    <t>Kraljevica</t>
  </si>
  <si>
    <t>Vrbovsko</t>
  </si>
  <si>
    <t>Lovinac</t>
  </si>
  <si>
    <t>Donji Lapac</t>
  </si>
  <si>
    <t>Udbina</t>
  </si>
  <si>
    <t>Otočac</t>
  </si>
  <si>
    <t>Brinje</t>
  </si>
  <si>
    <t>Vrhovine</t>
  </si>
  <si>
    <t>Virovitica</t>
  </si>
  <si>
    <t>Špišić Bukovica</t>
  </si>
  <si>
    <t>Požega</t>
  </si>
  <si>
    <t>Brestovac</t>
  </si>
  <si>
    <t>Čaglin</t>
  </si>
  <si>
    <t>Jakšić</t>
  </si>
  <si>
    <t>Kaptol</t>
  </si>
  <si>
    <t>Pleternica</t>
  </si>
  <si>
    <t>Nova Gradiška</t>
  </si>
  <si>
    <t>Cernik</t>
  </si>
  <si>
    <t>Davor</t>
  </si>
  <si>
    <t>Nova Kapela</t>
  </si>
  <si>
    <t>Rešetari</t>
  </si>
  <si>
    <t>Staro Petrovo Selo</t>
  </si>
  <si>
    <t>Vrbje</t>
  </si>
  <si>
    <t>Dragalić</t>
  </si>
  <si>
    <t>Gornji Bogićevci</t>
  </si>
  <si>
    <t>Stara Gradiška</t>
  </si>
  <si>
    <t>Slavonski Brod</t>
  </si>
  <si>
    <t>Brodski Stupnik</t>
  </si>
  <si>
    <t>Bukovlje</t>
  </si>
  <si>
    <t>Donji Andrijevci</t>
  </si>
  <si>
    <t>Garčin</t>
  </si>
  <si>
    <t>Podcrkavlje</t>
  </si>
  <si>
    <t>Sibinj</t>
  </si>
  <si>
    <t>Velika Kopanica</t>
  </si>
  <si>
    <t>Benkovac</t>
  </si>
  <si>
    <t>Polača</t>
  </si>
  <si>
    <t>Lišane Ostrovičke</t>
  </si>
  <si>
    <t>Gračac</t>
  </si>
  <si>
    <t>Beli Manastir</t>
  </si>
  <si>
    <t>Bilje</t>
  </si>
  <si>
    <t>Čeminac</t>
  </si>
  <si>
    <t>Darda</t>
  </si>
  <si>
    <t>Draž</t>
  </si>
  <si>
    <t>Jagodnjak</t>
  </si>
  <si>
    <t>Kneževi Vinogradi</t>
  </si>
  <si>
    <t>Petlovac</t>
  </si>
  <si>
    <t>Popovac</t>
  </si>
  <si>
    <t>Donji Miholjac</t>
  </si>
  <si>
    <t>Magadenovac</t>
  </si>
  <si>
    <t>Marijanci</t>
  </si>
  <si>
    <t>Đakovo</t>
  </si>
  <si>
    <t>Našice</t>
  </si>
  <si>
    <t>Feričanci</t>
  </si>
  <si>
    <t>Đurđenovac</t>
  </si>
  <si>
    <t>Podgorač</t>
  </si>
  <si>
    <t>Erdut</t>
  </si>
  <si>
    <t>Valpovo</t>
  </si>
  <si>
    <t>Belišće</t>
  </si>
  <si>
    <t>Bizovac</t>
  </si>
  <si>
    <t>Petrijevci</t>
  </si>
  <si>
    <t>Drniš</t>
  </si>
  <si>
    <t>Promina</t>
  </si>
  <si>
    <t>Ružić</t>
  </si>
  <si>
    <t>Unešić</t>
  </si>
  <si>
    <t>Knin</t>
  </si>
  <si>
    <t>Biskupija</t>
  </si>
  <si>
    <t>Civljane</t>
  </si>
  <si>
    <t>Ervenik</t>
  </si>
  <si>
    <t>Kijevo</t>
  </si>
  <si>
    <t>Kistanje</t>
  </si>
  <si>
    <t>Šibenik</t>
  </si>
  <si>
    <t>Bilice</t>
  </si>
  <si>
    <t>Pirovac</t>
  </si>
  <si>
    <t>Primošten</t>
  </si>
  <si>
    <t>Skradin</t>
  </si>
  <si>
    <t>Tisno</t>
  </si>
  <si>
    <t>Vodice</t>
  </si>
  <si>
    <t>Tribunj</t>
  </si>
  <si>
    <t>Vinkovci</t>
  </si>
  <si>
    <t>Andrijaševci</t>
  </si>
  <si>
    <t>Ivankovo</t>
  </si>
  <si>
    <t>Markušica</t>
  </si>
  <si>
    <t>Nuštar</t>
  </si>
  <si>
    <t>Stari Mikanovci</t>
  </si>
  <si>
    <t>Tordinci</t>
  </si>
  <si>
    <t>Borovo</t>
  </si>
  <si>
    <t>Lovas</t>
  </si>
  <si>
    <t>Negoslavci</t>
  </si>
  <si>
    <t>Ilok</t>
  </si>
  <si>
    <t>Županja</t>
  </si>
  <si>
    <t>Bošnjaci</t>
  </si>
  <si>
    <t>Cerna</t>
  </si>
  <si>
    <t>Drenovci</t>
  </si>
  <si>
    <t>Štitar</t>
  </si>
  <si>
    <t>Vrbanja</t>
  </si>
  <si>
    <t>Bol</t>
  </si>
  <si>
    <t>Milna</t>
  </si>
  <si>
    <t>Pučišća</t>
  </si>
  <si>
    <t>Sutivan</t>
  </si>
  <si>
    <t>Jelsa</t>
  </si>
  <si>
    <t>Imotski</t>
  </si>
  <si>
    <t>Cista Provo</t>
  </si>
  <si>
    <t>Lokvičići</t>
  </si>
  <si>
    <t>Podbablje</t>
  </si>
  <si>
    <t>Proložac</t>
  </si>
  <si>
    <t>Runovići</t>
  </si>
  <si>
    <t>Zagvozd</t>
  </si>
  <si>
    <t>Zmijavci</t>
  </si>
  <si>
    <t>Kaštela</t>
  </si>
  <si>
    <t>Makarska</t>
  </si>
  <si>
    <t>Brela</t>
  </si>
  <si>
    <t>Podgora</t>
  </si>
  <si>
    <t>Tučepi</t>
  </si>
  <si>
    <t>Omiš</t>
  </si>
  <si>
    <t>Zadvarje</t>
  </si>
  <si>
    <t>Sinj</t>
  </si>
  <si>
    <t>Dicmo</t>
  </si>
  <si>
    <t>Hrvace</t>
  </si>
  <si>
    <t>Vrlika</t>
  </si>
  <si>
    <t>Solin</t>
  </si>
  <si>
    <t>Dugopolje</t>
  </si>
  <si>
    <t>Muć</t>
  </si>
  <si>
    <t>Split</t>
  </si>
  <si>
    <t>Podstrana</t>
  </si>
  <si>
    <t>Trogir</t>
  </si>
  <si>
    <t>Vis</t>
  </si>
  <si>
    <t>Vrgorac</t>
  </si>
  <si>
    <t>Umag</t>
  </si>
  <si>
    <t>Buje</t>
  </si>
  <si>
    <t>Lanišće</t>
  </si>
  <si>
    <t>Labin</t>
  </si>
  <si>
    <t>Pićan</t>
  </si>
  <si>
    <t>Raša</t>
  </si>
  <si>
    <t>Pazin</t>
  </si>
  <si>
    <t>Cerovlje</t>
  </si>
  <si>
    <t>Gračišće</t>
  </si>
  <si>
    <t>Karojba</t>
  </si>
  <si>
    <t>Lupoglav</t>
  </si>
  <si>
    <t>Sveti Petar u Šumi</t>
  </si>
  <si>
    <t>Tinjan</t>
  </si>
  <si>
    <t>Sveti Lovreč</t>
  </si>
  <si>
    <t>Višnjan</t>
  </si>
  <si>
    <t>Vižinada</t>
  </si>
  <si>
    <t>Pula</t>
  </si>
  <si>
    <t>Barban</t>
  </si>
  <si>
    <t>Fažana</t>
  </si>
  <si>
    <t>Ližnjan</t>
  </si>
  <si>
    <t>Marčana</t>
  </si>
  <si>
    <t>Medulin</t>
  </si>
  <si>
    <t>Svetvinčenat</t>
  </si>
  <si>
    <t>Rovinj</t>
  </si>
  <si>
    <t>Bale</t>
  </si>
  <si>
    <t>Kanfanar</t>
  </si>
  <si>
    <t>Žminj</t>
  </si>
  <si>
    <t>Dubrovnik</t>
  </si>
  <si>
    <t>Konavle</t>
  </si>
  <si>
    <t>Mljet</t>
  </si>
  <si>
    <t>Župa Dubrovačka</t>
  </si>
  <si>
    <t>Korčula</t>
  </si>
  <si>
    <t>Blato</t>
  </si>
  <si>
    <t>Lumbarda</t>
  </si>
  <si>
    <t>Trpanj</t>
  </si>
  <si>
    <t>Vela Luka</t>
  </si>
  <si>
    <t>Lastovo</t>
  </si>
  <si>
    <t>Metković</t>
  </si>
  <si>
    <t>Čakovec</t>
  </si>
  <si>
    <t>Belica</t>
  </si>
  <si>
    <t>Odaberite mjesto</t>
  </si>
  <si>
    <t>Ostala mjesta</t>
  </si>
  <si>
    <t>-</t>
  </si>
  <si>
    <t>1</t>
  </si>
  <si>
    <t>2</t>
  </si>
  <si>
    <t>3</t>
  </si>
  <si>
    <t>4</t>
  </si>
  <si>
    <t>UPUTA ZA POPUNJAVANJE OBRASCA</t>
  </si>
  <si>
    <t>Ostala polja nije moguće mijenjati i izračunavaju se automatski</t>
  </si>
  <si>
    <t>Nakon popunjavanja i ispisa obrasca na papir na prvoj stranici potrebno je olovkom zaokružiti</t>
  </si>
  <si>
    <t>odgovarajuće vrijednosti pod 1.4., 1.5. i 1.7.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</si>
  <si>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</si>
  <si>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</si>
  <si>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</si>
  <si>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</si>
  <si>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</si>
  <si>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DODATNE UPUTE ZA PODNOŠENJE PRIJAVE POREZA NA DOHODAK</t>
  </si>
  <si>
    <t>Obrtnici mogu naći dodatne upute koje se njih tiču u prilogu časopisa Računovodstvo, revizija</t>
  </si>
  <si>
    <t>Dobar savjet zlata vrijedi</t>
  </si>
  <si>
    <t>www.rrif.hr</t>
  </si>
  <si>
    <t>Ako već niste naš pretplatnik do časopisa ćete najlakše doći pozivom naše pretplate na broj</t>
  </si>
  <si>
    <t>www.rrif.hr/pretplata.html</t>
  </si>
  <si>
    <t>Ova tablica sadrži osam listova i na svakom se nalazi jedna stranica DOH obrasca</t>
  </si>
  <si>
    <t>P3</t>
  </si>
  <si>
    <t>P4</t>
  </si>
  <si>
    <t>I</t>
  </si>
  <si>
    <t>I*</t>
  </si>
  <si>
    <t>DA</t>
  </si>
  <si>
    <t>NE</t>
  </si>
  <si>
    <t>Neka od tih polja imaju padajuće liste pomoću kojih se bira jedna od dopuštenih vrijednosti</t>
  </si>
  <si>
    <t>Stopu prireza upisujete odabirom prebivališta s padajuče liste ili direktno postotak ako ste se selili</t>
  </si>
  <si>
    <t xml:space="preserve">Kako sastaviti DOH obrazac pretplatnici na Internet izdanje časopisa RRiF za fizičke osobe (građane) </t>
  </si>
  <si>
    <t>mogu vidjeti ovdje:</t>
  </si>
  <si>
    <t>a obrtnici i slobodna zanimanja ovdje:</t>
  </si>
  <si>
    <t>http://www.rrif.hr/Prijava_poreza_na_dohodak_gradana_za_2010_-13123C.pdf</t>
  </si>
  <si>
    <t>http://www.rrif.hr/Godisnja_prijava_poreza_na_dohodak_obrtnickih_i_dr-13041C.pdf</t>
  </si>
  <si>
    <t>PODRUČNI URED:</t>
  </si>
  <si>
    <t>ISPOSTAVA:</t>
  </si>
  <si>
    <t>I                    I*</t>
  </si>
  <si>
    <t>Upozorenja, koja se u slučaju neispravnog unosa pokazuju na margini, ne ispisuju se na papir</t>
  </si>
  <si>
    <t xml:space="preserve"> DRŽAVNE POTPORE ZA NAUKOVANJE ZA OBRTNIČKA ZANIMANJA</t>
  </si>
  <si>
    <t xml:space="preserve"> DRŽAVNE POTPORE ZA OBRAZOVANJE I IZOBRAZBU</t>
  </si>
  <si>
    <t>Breznički Hum</t>
  </si>
  <si>
    <t>Donji Martijanec</t>
  </si>
  <si>
    <t>Hrašćina</t>
  </si>
  <si>
    <t>Kamanje</t>
  </si>
  <si>
    <t>Opuzen</t>
  </si>
  <si>
    <t>Otok (Vinkovci)</t>
  </si>
  <si>
    <t>Slatina</t>
  </si>
  <si>
    <t>ZA ISTINITOST I VJERODOSTOJNOST PODATAKA JAMČIM VLASTITIM POTPISOM</t>
  </si>
  <si>
    <t>IZ MIROVINE</t>
  </si>
  <si>
    <t>3.2. DANA DAROVANJA</t>
  </si>
  <si>
    <t>3.3. UKUPNO (3.1.+3.2.)</t>
  </si>
  <si>
    <t>TUZEMNI</t>
  </si>
  <si>
    <t>INOZEMNI</t>
  </si>
  <si>
    <t>detaljnim uputama za ispunjavanje DOH obrasca i podnošenje prijave poreza na dohodak</t>
  </si>
  <si>
    <t>Gospić</t>
  </si>
  <si>
    <t>Čepin</t>
  </si>
  <si>
    <t>Maruševec</t>
  </si>
  <si>
    <t>Petrijanec</t>
  </si>
  <si>
    <t>Zadar</t>
  </si>
  <si>
    <t>Vladislavci</t>
  </si>
  <si>
    <t>Sveti Ilija</t>
  </si>
  <si>
    <t>Potpom. podr. i</t>
  </si>
  <si>
    <t>(P1, P2)</t>
  </si>
  <si>
    <t>Potpom.</t>
  </si>
  <si>
    <t>Vukovar</t>
  </si>
  <si>
    <t>pod. i Gr.</t>
  </si>
  <si>
    <t>POTPOMOGNUTA PODRUČJA I PODRUČJE GRADA VUKOVARA</t>
  </si>
  <si>
    <t>Daruvar</t>
  </si>
  <si>
    <t>Pakrac</t>
  </si>
  <si>
    <t>Klis</t>
  </si>
  <si>
    <t>Lukač</t>
  </si>
  <si>
    <t>Perušić</t>
  </si>
  <si>
    <t>Škabrnja</t>
  </si>
  <si>
    <t>Od</t>
  </si>
  <si>
    <t>Do</t>
  </si>
  <si>
    <t>9.</t>
  </si>
  <si>
    <t>10.</t>
  </si>
  <si>
    <t>11.</t>
  </si>
  <si>
    <t>Biograd na Moru</t>
  </si>
  <si>
    <t>Buzet</t>
  </si>
  <si>
    <t>Donja Stubica</t>
  </si>
  <si>
    <t>Komiža</t>
  </si>
  <si>
    <t>Ogulin</t>
  </si>
  <si>
    <t>Ploče</t>
  </si>
  <si>
    <t>Senj</t>
  </si>
  <si>
    <t>Stari Grad</t>
  </si>
  <si>
    <t>Babina Greda</t>
  </si>
  <si>
    <t>Hrvatska Dubica</t>
  </si>
  <si>
    <t>Okučani</t>
  </si>
  <si>
    <t>Sveti Filip i Jakov</t>
  </si>
  <si>
    <t>Štefanje</t>
  </si>
  <si>
    <t>Kula Norinska</t>
  </si>
  <si>
    <t>Ljubešćica</t>
  </si>
  <si>
    <t>Sveta Nedelja (Labin)</t>
  </si>
  <si>
    <t xml:space="preserve"> 1.5. PROMJENA PREBIVALIŠTA / UOBIČAJENOG PREBIVALIŠTA TIJEKOM GODINE</t>
  </si>
  <si>
    <t xml:space="preserve"> 1.6. INVALID I HRVATSKI RATNI VOJNI INVALID IZ DOMOVINSKOG RATA (HRVI)</t>
  </si>
  <si>
    <t xml:space="preserve"> 1.2.1. Telefon:</t>
  </si>
  <si>
    <t xml:space="preserve"> 1.2.2. Adresa elektroničke pošte:</t>
  </si>
  <si>
    <t xml:space="preserve"> 1.7. BROJ RAČUNA:</t>
  </si>
  <si>
    <t xml:space="preserve"> 1.8. PODACI O OPUNOMOĆENIKU / POREZNOM SAVJETNIKU</t>
  </si>
  <si>
    <t xml:space="preserve">  1.8.1. NAZIV / IME I PREZIME:</t>
  </si>
  <si>
    <t xml:space="preserve">  1.8.2. ADRESA SJEDIŠTA / PREBIVALIŠTA / BORAVIŠTA:</t>
  </si>
  <si>
    <t xml:space="preserve">  1.8.3. OIB:</t>
  </si>
  <si>
    <t>4.3. DOHODAK OD SAMOSTALNE DJELATNOSTI</t>
  </si>
  <si>
    <t>4.2. DRUGI DOHODAK</t>
  </si>
  <si>
    <t xml:space="preserve"> UKUPNO  4.1.5.</t>
  </si>
  <si>
    <t xml:space="preserve"> 4.1.1. PLAĆA OSTVARENA U TUZEMSTVU IZVAN PODRUČJA P1 (prema Obrascima IP)</t>
  </si>
  <si>
    <r>
      <t xml:space="preserve"> 4.1.2. PLAĆA OSTVARENA U TUZEMSTVU NA POTPOMOGNUTOM PODRUČJU I. SKUPINE I
           ILI NA PODRUČJU GRADA VUKOVARA (prema Obrascima IP) </t>
    </r>
    <r>
      <rPr>
        <b/>
        <vertAlign val="superscript"/>
        <sz val="11"/>
        <color indexed="8"/>
        <rFont val="Arial"/>
        <family val="2"/>
        <charset val="238"/>
      </rPr>
      <t>1</t>
    </r>
  </si>
  <si>
    <t xml:space="preserve"> UKUPNO  4.1.3.</t>
  </si>
  <si>
    <r>
      <t xml:space="preserve"> 1.4. POTPOMOGNUTA PODRUČJA</t>
    </r>
    <r>
      <rPr>
        <b/>
        <vertAlign val="superscript"/>
        <sz val="9"/>
        <color indexed="8"/>
        <rFont val="Arial"/>
        <family val="2"/>
        <charset val="238"/>
      </rPr>
      <t xml:space="preserve"> 1</t>
    </r>
    <r>
      <rPr>
        <b/>
        <sz val="9"/>
        <color indexed="8"/>
        <rFont val="Arial"/>
        <family val="2"/>
        <charset val="238"/>
      </rPr>
      <t xml:space="preserve"> I PODRUČJE GRADA VUKOVARA</t>
    </r>
    <r>
      <rPr>
        <b/>
        <sz val="9"/>
        <color indexed="8"/>
        <rFont val="Arial"/>
        <family val="2"/>
        <charset val="238"/>
      </rPr>
      <t xml:space="preserve"> (zaokružiti područje):</t>
    </r>
  </si>
  <si>
    <r>
      <t>Grad Vukovar</t>
    </r>
    <r>
      <rPr>
        <vertAlign val="superscript"/>
        <sz val="7"/>
        <color indexed="8"/>
        <rFont val="Arial"/>
        <family val="2"/>
        <charset val="238"/>
      </rPr>
      <t xml:space="preserve"> 2</t>
    </r>
  </si>
  <si>
    <r>
      <t>OZNAKA INVALIDNOSTI</t>
    </r>
    <r>
      <rPr>
        <vertAlign val="superscript"/>
        <sz val="8"/>
        <color indexed="8"/>
        <rFont val="Arial"/>
        <family val="2"/>
        <charset val="238"/>
      </rPr>
      <t xml:space="preserve"> 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(zaokružiti)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</si>
  <si>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područja jedinica lokalne samouprave razvrstanih u I. skupinu po stupnju razvijenosti prema posebnom propisu o regionalnom razvoju Republike Hrvatske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</si>
  <si>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oznaka invalidnosti: I* - 100% invalidnost ili pravo na tuđu pomoć i njegu zbog invalidnosti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</si>
  <si>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upisuje se oznaka P1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</si>
  <si>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iznos iz IP Obrasca o ostvarenoj plaći za vrijeme boravka na potpomognutom području I. skupine i na području Grada Vukovara uzimajući u 
obzir podatak pod 1.5.</t>
    </r>
  </si>
  <si>
    <t xml:space="preserve"> 4.1.3. PLAĆA OSTVARENA IZ INOZEMSTVA ILI U INOZEMSTVU IZVAN PODRUČJA P1 
           (prema potvrdama inozemnih isplatitelja i vlastitim evidencijama)</t>
  </si>
  <si>
    <t xml:space="preserve"> 4.1.4. PLAĆA OSTVARENA IZ INOZEMSTVA ZA VRIJEME BORAVKA NA POTPOMOGNUTOM 
           PODRUČJU I. SKUPINE I/ILI NA PODRUČJU GRADA VUKOVARA
           (prema potvrdama inozemnih isplatitelja i vlastitim evidencijama)</t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</si>
  <si>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</si>
  <si>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t xml:space="preserve"> 4.1.5. MIROVINA OSTVARENA U TUZEMSTVU (prema obrascima IP / potvrdama isplatitelja)</t>
  </si>
  <si>
    <t>UKUPNI IZNOS
MIROVINE</t>
  </si>
  <si>
    <t>UKUPNI IZNOS
PRIMITKA</t>
  </si>
  <si>
    <t>UPLAĆENI
POREZ I PRIREZ</t>
  </si>
  <si>
    <t>OIB POSLODAVCA /
ISPLATITELJA</t>
  </si>
  <si>
    <t xml:space="preserve"> UKUPNO  4.1.4.</t>
  </si>
  <si>
    <t xml:space="preserve"> UKUPNO  4.1.6.</t>
  </si>
  <si>
    <r>
      <t>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</si>
  <si>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</si>
  <si>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</si>
  <si>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t xml:space="preserve"> 4.1.6. MIROVINA OSTVARENA U INOZEMSTVU 
           (prema potvrdama inozem. isplatitelja i rješenju Porezne uprave)</t>
  </si>
  <si>
    <t xml:space="preserve"> 4.1.7. UKUPAN DOHODAK OD
           NESAMOSTALNOG RADA,
           UPLAĆENI POREZ I PRIREZ
           (4.1.1.+4.1.2.+4.1.3.+4.1.4.
           +4.1.5.+4.1.6.)</t>
  </si>
  <si>
    <t xml:space="preserve"> 4.1.8. OSTVARENI DOHODAK OD NESAMOSTALNOG RADA (PLAĆE I MIROVINE) NA KOJI SE
           NE PLAĆA POREZ NA DOHODAK PREMA STUPNJU INVALIDNOSTI HRVI</t>
  </si>
  <si>
    <r>
      <t xml:space="preserve"> 1 </t>
    </r>
    <r>
      <rPr>
        <sz val="8"/>
        <color indexed="8"/>
        <rFont val="Arial"/>
        <family val="2"/>
        <charset val="238"/>
      </rPr>
      <t xml:space="preserve">iznos pod ukupno 4.1.4.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dohotka pod 4.1.7.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</si>
  <si>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iznos pod ukupno 4.1.6.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4 </t>
    </r>
    <r>
      <rPr>
        <sz val="8"/>
        <color indexed="8"/>
        <rFont val="Arial"/>
        <family val="2"/>
        <charset val="238"/>
      </rPr>
      <t>iznos pod 4.1.8. stupac 3 / sveukupni dohodak pod 5. u %</t>
    </r>
  </si>
  <si>
    <t xml:space="preserve"> 4.2. DRUGI DOHODAK</t>
  </si>
  <si>
    <t xml:space="preserve"> 4.2.1. DRUGI DOHODAK OSTVAREN U TUZEMSTVU (prema potvrdama isplatitelja)</t>
  </si>
  <si>
    <t>DRUGI DOHODAK
PO OSNOVI</t>
  </si>
  <si>
    <t>DIO DD</t>
  </si>
  <si>
    <t>Umjetničkih, artističkih, zabavnih, sportskih, književnih, likovnih djelatnosti, te djelatnosti u svezi s tiskom, radiom, televizijom i zabavnim priredbama NEREZIDENATA</t>
  </si>
  <si>
    <t>AUTORSKIH
NAKNADA</t>
  </si>
  <si>
    <t>PRIMITAKA ČLANOVA
SKUPŠTINA I 
NADZORNIH ODBORA</t>
  </si>
  <si>
    <t xml:space="preserve">Primitaka u naravi, nagrada učenicima, stipendija, nagrada, naknada iznad propisanih iznosa </t>
  </si>
  <si>
    <t xml:space="preserve">Primitaka učenika i studenata za rad preko posrednika za zapo- šljavanje učenika i studenata iznad propisanih iznosa </t>
  </si>
  <si>
    <t>PRIMITAKA PROFESIONALNIH 
NOVINARA, UMJETNIKA I
ŠPORTAŠA</t>
  </si>
  <si>
    <t xml:space="preserve"> UKUPNO 4.2.1.</t>
  </si>
  <si>
    <t xml:space="preserve"> 4.2.2. DRUGI DOHODAK OSTVAREN U INOZEMSTVU
           (prema potvrdama isplatitelja i vlastitim evidencijama)</t>
  </si>
  <si>
    <t>UKUPNO 4.2.2.</t>
  </si>
  <si>
    <t xml:space="preserve"> 4.2.3. UKUPAN DRUGI DOHODAK,
           UPLAĆENI POREZ I PRIREZ
           (4.2.1.+4.2.2.)</t>
  </si>
  <si>
    <t xml:space="preserve"> 4.3.1. DOHODAK/ GUBITAK OSTVAREN U TEKUĆOJ GODINI</t>
  </si>
  <si>
    <t xml:space="preserve">      4.3.1.1. TUZEMNI DOHODAK</t>
  </si>
  <si>
    <t xml:space="preserve">      4.3.1.2. INOZEMNI DOHODAK</t>
  </si>
  <si>
    <t>(ukupno pod 4.3.5. stupac 3)</t>
  </si>
  <si>
    <t xml:space="preserve"> UKUPNO 4.3.1.</t>
  </si>
  <si>
    <t xml:space="preserve"> 4.3.2. UMANJENJE ZA PRENESENI GUBITAK (4.3.6. stup. 4)</t>
  </si>
  <si>
    <t xml:space="preserve"> 4.3.5. UMANJENJA DOHOTKA POJEDINCA</t>
  </si>
  <si>
    <t xml:space="preserve"> UKUPNO 4.3.5.</t>
  </si>
  <si>
    <t>UDIO (4.3.7. stup.3. /
sveukupni dohodak pod 5.) u %</t>
  </si>
  <si>
    <t xml:space="preserve"> I. SKUPINA</t>
  </si>
  <si>
    <t>(pod 4.3.1. STUP. 6)</t>
  </si>
  <si>
    <t>OIB POREZNOG OBVEZNIKA:</t>
  </si>
  <si>
    <t xml:space="preserve"> 4.3.6. GUBITAK OD SAMOSTALNE DJELATNOSTI ZA PRIJENOS</t>
  </si>
  <si>
    <t xml:space="preserve"> 4.3. DOHODAK OD SAMOSTALNE DJELATNOSTI OBRTA, SLOBODNIH ZANIMANJA,
        POLJOPRIVREDE I ŠUMARSTVA I DJELATNOSTI KOJE SE OPOREZUJU KAO
        SAMOSTALNA DJELATNOST (prema pregledu primitaka i izdataka)</t>
  </si>
  <si>
    <t xml:space="preserve"> 4.3.3. UKUPNO DOHODAK (4.3.1. stup. 7. – 4.3.2.),
          UPLAĆENI POREZ I PRIREZ</t>
  </si>
  <si>
    <r>
      <t xml:space="preserve"> 4.3.4. PREDUJAM POREZA NA DOHODAK ZA SLJEDEĆE POREZNO RAZDOBLJE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</si>
  <si>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t xml:space="preserve"> 4.3.7. DOHODAK OD SAMOSTALNE DJELATNOSTI OSTVAREN NA POTPOMOGNUTIM PODRUČJIMA I 
          PODRUČJU GRADA VUKOVARA ZA KOJI SU PROPISANE OLAKŠICE</t>
  </si>
  <si>
    <r>
      <t xml:space="preserve"> 1 </t>
    </r>
    <r>
      <rPr>
        <sz val="8"/>
        <color indexed="8"/>
        <rFont val="Arial"/>
        <family val="2"/>
        <charset val="238"/>
      </rPr>
      <t>upisuje se iznos iz priloga UPO pod 9.7.2.</t>
    </r>
  </si>
  <si>
    <t xml:space="preserve"> 4.3.8. OBRAČUN DOPRINOSA PO OSNOVI OBAVLJANJA DRUGE DJELATNOSTI</t>
  </si>
  <si>
    <t xml:space="preserve"> 1. RAZDOBLJE OBAVLJANJA SAMOSTALNE DJELATNOSTI</t>
  </si>
  <si>
    <t xml:space="preserve"> 2. RAZDOBLJE OBAVLJANJA DRUGE DJELATNOSTI</t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</si>
  <si>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računa se svaki puni mjesec u kojemu je djelatnost obavljana uvećan za posljednji mjesec, bez obzira na broj dana obavljanja djelatnosti u
tom 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</si>
  <si>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računa se svaki puni mjesec druge djelatnosti uvećan za posljednji mjesec, bez obzira na broj dana obavljanja druge djelatnosti u tom
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</si>
  <si>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iznos dohotka – dohodak ostvaren u poreznom razdoblju – razlika između poslovnih primitaka i izdataka, prije umanjenja dohotka za
preneseni gubitak i ostalih umanjenja dohotka, prema Zakonu i posebnim propisima (zbroj stupca 2 pod 4.3.1., u slučaju obavljanja zajedničke
djelatnosti i zbroj stupca 5 pod 4.3.1.)</t>
    </r>
  </si>
  <si>
    <r>
      <rPr>
        <vertAlign val="superscript"/>
        <sz val="8"/>
        <color indexed="8"/>
        <rFont val="Arial"/>
        <family val="2"/>
        <charset val="238"/>
      </rPr>
      <t>4</t>
    </r>
    <r>
      <rPr>
        <sz val="8"/>
        <color indexed="8"/>
        <rFont val="Arial"/>
        <family val="2"/>
        <charset val="238"/>
      </rPr>
      <t xml:space="preserve"> r.br. 4. / 12 * iznos propisane godišnje osnovice za obveznika doprinosa po osnovi obavljanja druge djelatnosti za godinu za koju se
obveza utvrđuje</t>
    </r>
  </si>
  <si>
    <r>
      <rPr>
        <vertAlign val="superscript"/>
        <sz val="8"/>
        <color indexed="8"/>
        <rFont val="Arial"/>
        <family val="2"/>
        <charset val="238"/>
      </rPr>
      <t>5</t>
    </r>
    <r>
      <rPr>
        <sz val="8"/>
        <color indexed="8"/>
        <rFont val="Arial"/>
        <family val="2"/>
        <charset val="238"/>
      </rPr>
      <t xml:space="preserve"> ako je r.br. 6. ≤ r.br. 7. onda r.br. 6., ako je r.br. 6. &gt; r.br. 7. onda r.br. 7.</t>
    </r>
  </si>
  <si>
    <t xml:space="preserve"> 6. PODACI O OLAKŠICAMA, OSLOBOĐENJIMA I POTICAJIMA</t>
  </si>
  <si>
    <t xml:space="preserve"> 7. POPIS PRILOŽENIH ISPRAVA</t>
  </si>
  <si>
    <t xml:space="preserve"> 8. NAPOMENE POREZNOG OBVEZNIKA / OPUNOMOĆENIKA / POREZNOG SAVJETNIKA</t>
  </si>
  <si>
    <t>DIO NR</t>
  </si>
  <si>
    <t xml:space="preserve"> NEOPOREZIVI PRIMICI UMJETNIKA (članak 20. Zakona o pravima samostalnih
 umjetnika i poticanju kulturnog i umjetničkog stvaralaštva)</t>
  </si>
  <si>
    <t xml:space="preserve"> NEOPOREZIVI DIO UMJETNIČKOG HONORARA (članak 22. Zakona o pravima
 samostalnih umjetnika i poticanju kulturnog i umjetničkog stvaralaštva)</t>
  </si>
  <si>
    <t xml:space="preserve"> POREZNO PRIZNATI IZDACI REPREZENTACIJE (čl. 33. st. 1. t. 1. odnosno 95.
 stavak 6. Zakona)</t>
  </si>
  <si>
    <t xml:space="preserve"> PRIZNATI PREDUJAM POREZA ZA UMIROVLJENIKE I OSOBE KOJE BORAVE
 NA PODRUČJU I. SKUPINE PP I GRADU VUKOVARU (čl. 46. st. 2. Zakona)</t>
  </si>
  <si>
    <t xml:space="preserve"> UMANJENJE POREZA ZA OLAKŠICU HRVI (čl. 42. st. 1. Zakona)</t>
  </si>
  <si>
    <t xml:space="preserve"> UMANJENJE POREZA ZA OLAKŠICE NA POTPOMOGNUTIM PODRUČJIMA I
 PODRUČJU GRADA VUKOVARA (čl. 43. Zakona)</t>
  </si>
  <si>
    <r>
      <t xml:space="preserve"> BROJ MJESECI OBAVLJANJA SAMOSTALNE DJELATNOSTI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</si>
  <si>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r>
      <t xml:space="preserve"> BROJ MJESECI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</si>
  <si>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 xml:space="preserve"> 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  <r>
      <rPr>
        <sz val="9"/>
        <color indexed="8"/>
        <rFont val="Arial"/>
        <family val="2"/>
        <charset val="238"/>
      </rPr>
      <t xml:space="preserve"> (zbroj stupca 2. i 5. pod 4.3.1)</t>
    </r>
  </si>
  <si>
    <t xml:space="preserve"> IZNOS DOHOTKA OD DRUGE DJELATNOSTI (r.br. 4. / r.br. 3. * r.br. 5.)</t>
  </si>
  <si>
    <r>
      <t xml:space="preserve"> IZNOS NAJVIŠE OSNOVICE ZA MJESECE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</si>
  <si>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r>
      <t xml:space="preserve"> IZNOS OSNOVICE ZA OBRAČUN DOPRINOSA</t>
    </r>
    <r>
      <rPr>
        <vertAlign val="superscript"/>
        <sz val="9"/>
        <color indexed="8"/>
        <rFont val="Arial"/>
        <family val="2"/>
        <charset val="238"/>
      </rPr>
      <t xml:space="preserve"> 5</t>
    </r>
  </si>
  <si>
    <t xml:space="preserve"> IZNOS DOPRINOSA ZA MIROVINSKO OSIGURANJE NA TEMELJU GENERACIJSKE
 SOLIDARNOSTI (r.br. 8. * propisana stopa iz članka 13. Zakona o doprinosima)</t>
  </si>
  <si>
    <t xml:space="preserve"> IZNOS DOPRINOSA ZA ZDRAVSTVENO OSIGURANJE
 (r.br. 8. * propisana stopa iz članka 14. Zakona o doprinosima)</t>
  </si>
  <si>
    <t xml:space="preserve"> 9.1. IZNOS DIJELA OSOBNOG ODBITKA ZA POREZNOG OBVEZNIKA I UZDRŽAVANE ČLANOVE</t>
  </si>
  <si>
    <t>IZNOS OSNOVNOG OSOBNOG ODBITKA</t>
  </si>
  <si>
    <t>UKUPAN KOEFICIJENT UVEĆANJA OSNOVNOG OSOBNOG ODBITKA</t>
  </si>
  <si>
    <t>IZNOS UVEĆANJA OSNOVNOG OSOBNOG ODBITKA</t>
  </si>
  <si>
    <t>UKUPAN MJESEČNI IZNOS OSOBNOG ODBITKA</t>
  </si>
  <si>
    <t xml:space="preserve"> 9.5. UTVRĐIVANJE GODIŠNJEG POREZA I PRIREZA</t>
  </si>
  <si>
    <t xml:space="preserve"> 9.4. UTVRĐIVANJE GODIŠNJE POREZNE OSNOVICE</t>
  </si>
  <si>
    <t xml:space="preserve"> 9.3. UKUPNO GODIŠNJI OSOBNI ODBITAK (9.1. + 9.2.)</t>
  </si>
  <si>
    <t xml:space="preserve"> 9.2. IZNOS DIJELA OSOBNOG ODBITKA ZA PLAĆENE
        DOPRINOSE ZA ZDRAVSTVENO OSIGURANJE U TUZEMSTVU I
        DANA DAROVANJA (pod 3.3.)</t>
  </si>
  <si>
    <t xml:space="preserve"> 9.4.1. SVEUKUPNI GODIŠNJI DOHODAK (pod 5.)</t>
  </si>
  <si>
    <t xml:space="preserve"> 9.4.3. GODIŠNJA POREZNA OSNOVICA (9.4.1. - 9.4.2.)</t>
  </si>
  <si>
    <t xml:space="preserve"> 9.5.1. GODIŠNJA POREZNA OSNOVICA (9.4.3.)</t>
  </si>
  <si>
    <t xml:space="preserve"> 9.6. UTVRĐIVANJE RAZLIKE POREZA I PRIREZA</t>
  </si>
  <si>
    <r>
      <t xml:space="preserve"> 9.6.1. UMANJENJE POREZA I PRIREZA OD SAMOSTALNE DJELATNOSTI NA
            PODRUČJU GRADA VUKOVARA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</si>
  <si>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r>
      <t xml:space="preserve"> 9.6.2. UMANJENJE POREZA I PRIREZA OD SAMOSTALNE DJELATNOSTI NA
            POTPOMOGNUTOM PODRUČJU I. SKUPINE</t>
    </r>
    <r>
      <rPr>
        <b/>
        <vertAlign val="superscript"/>
        <sz val="10"/>
        <color indexed="8"/>
        <rFont val="Arial"/>
        <family val="2"/>
        <charset val="238"/>
      </rPr>
      <t xml:space="preserve"> 2</t>
    </r>
  </si>
  <si>
    <r>
      <t xml:space="preserve"> 9.6.4. UMANJENJE ZA OLAKŠICU HRVI</t>
    </r>
    <r>
      <rPr>
        <b/>
        <vertAlign val="superscript"/>
        <sz val="10"/>
        <color indexed="8"/>
        <rFont val="Arial"/>
        <family val="2"/>
        <charset val="238"/>
      </rPr>
      <t xml:space="preserve"> 3</t>
    </r>
  </si>
  <si>
    <t xml:space="preserve"> 9.7. UTVRĐIVANJE PREDUJMA POREZA NA DOHODAK OD SAMOSTALNE DJELATNOSTI ZA
        SLJEDEĆE POREZNO RAZDOBLJE</t>
  </si>
  <si>
    <t xml:space="preserve"> GRAD VUKOVAR</t>
  </si>
  <si>
    <t xml:space="preserve"> IZNOS DOPRINOSA ZA MIROVINSKO OSIGURANJE NA TEMELJU INDIVIDUALNE
 KAPITALIZIRANE ŠTEDNJE (r.br. 8. * propisana stopa iz članka 17. Zakona o doprinosima)</t>
  </si>
  <si>
    <t>Ernestinovo</t>
  </si>
  <si>
    <t>Gornji Kneginec</t>
  </si>
  <si>
    <t>Gunja</t>
  </si>
  <si>
    <t>Kloštar Podravski</t>
  </si>
  <si>
    <t>Lipik</t>
  </si>
  <si>
    <t>Martijanec</t>
  </si>
  <si>
    <t>Supetar</t>
  </si>
  <si>
    <t>Vođinci</t>
  </si>
  <si>
    <t>UDIO u %</t>
  </si>
  <si>
    <t>Konjšćina</t>
  </si>
  <si>
    <t>Matulji</t>
  </si>
  <si>
    <t>Motovun</t>
  </si>
  <si>
    <t>Murter-Kornati</t>
  </si>
  <si>
    <t>Otok (Sinj)</t>
  </si>
  <si>
    <t>Radoboj</t>
  </si>
  <si>
    <t>Sveta Nedelja (Samobor)</t>
  </si>
  <si>
    <t>Vodnjan</t>
  </si>
  <si>
    <t>Žakanje</t>
  </si>
  <si>
    <t>telefona 01/4699-760, ili posjetom stranice na Internetu</t>
  </si>
  <si>
    <t>Đurmanec</t>
  </si>
  <si>
    <t>Plitvička Jezera</t>
  </si>
  <si>
    <t>Kaštelir Labinci</t>
  </si>
  <si>
    <t>Dubrovačko Primorje</t>
  </si>
  <si>
    <t xml:space="preserve"> UMANJENJE POREZA FIZIČKIM OSOBAMA DO 25 GODINA ŽIVOTA (čl. 46. st. 2. Zakona)</t>
  </si>
  <si>
    <t xml:space="preserve"> UMANJENJE POREZA FIZIČKIM OSOBAMA OD 26 DO 30 GODINA ŽIVOTA (čl. 46. st. 2. Zakona)</t>
  </si>
  <si>
    <t xml:space="preserve"> 9.6.5. UMANJENJE IZ ČL. 84. ST. 5. PRAVILNIKA</t>
  </si>
  <si>
    <r>
      <t xml:space="preserve"> 9.4.2. UKUPNI GODIŠNJI OSOBNI ODBITAK (pod 9.3.) </t>
    </r>
    <r>
      <rPr>
        <b/>
        <sz val="10"/>
        <color theme="1"/>
        <rFont val="Calibri"/>
        <family val="2"/>
        <charset val="238"/>
      </rPr>
      <t>≤</t>
    </r>
    <r>
      <rPr>
        <b/>
        <sz val="10"/>
        <color theme="1"/>
        <rFont val="Arial"/>
        <family val="2"/>
        <charset val="238"/>
      </rPr>
      <t xml:space="preserve"> 9.4.1.</t>
    </r>
  </si>
  <si>
    <t>9.7.2.</t>
  </si>
  <si>
    <t xml:space="preserve"> 9.7.2. PREDUJAM POREZA NA DOHODAK</t>
  </si>
  <si>
    <t>Umanjenje_9_6_1 + Umanjenje_9_6_2</t>
  </si>
  <si>
    <t>Tuzemni_5</t>
  </si>
  <si>
    <t>Inozemni_5</t>
  </si>
  <si>
    <t>Kutjevo</t>
  </si>
  <si>
    <t xml:space="preserve"> 9.6.8.  GODIŠNJA OBVEZA POREZA I PRIREZA NAKON PROPISANIH UMANJENJA</t>
  </si>
  <si>
    <t xml:space="preserve"> 9.6.9. UPLAĆENI PREDUJAM POREZA I PRIREZA U TUZEMSTVU (pod 5.)</t>
  </si>
  <si>
    <t xml:space="preserve"> 9.6.10. UKUPNO UPLAĆENI POREZ U INOZEMSTVU (pod 5.)</t>
  </si>
  <si>
    <t>Porez_9_6_8 - Porez_9_6_12, ne može biti manje od 0</t>
  </si>
  <si>
    <t>Porez_9_6_12 - Porez_9_6_8, ne može biti manje od 0</t>
  </si>
  <si>
    <t>Predujam_9_6_9 + Predujam_9_6_11</t>
  </si>
  <si>
    <t>Granica osnovice za prvu stopu poreza</t>
  </si>
  <si>
    <t xml:space="preserve"> 9.6.6.  UMANJENJE ZA 50% RAZMJERNOG DIJELA POREZNE OBVEZE 
            KOJA SE ODNOSI NA MIROVINU IZ ČL. 41. ST. 1 ZAKONA</t>
  </si>
  <si>
    <t xml:space="preserve"> 9.6.3. UKUPNO UMANJENJE POREZA I PRIREZA OD SAMOSTALNE DJELATNOSTI
            ( 9.6.1.+ 9.6.2. )</t>
  </si>
  <si>
    <t xml:space="preserve"> 9.6.12. UKUPNO UPLAĆENI POREZ I PRIREZ
            ( 9.6.9. + 9.6.11. )</t>
  </si>
  <si>
    <t xml:space="preserve"> 9.6.13. RAZLIKA POREZA I PRIREZA ZA UPLATU ( 9.6.8. - 9.6.12. )</t>
  </si>
  <si>
    <t xml:space="preserve"> 9.6.14. RAZLIKA POREZA I PRIREZA ZA POVRAT ( 9.6.12. - 9.6.9. )</t>
  </si>
  <si>
    <t xml:space="preserve"> 9.7.1. UDIO DOHOTKA OD SAMOSTALNE DJELATNOSTI U SVEUKUPNOM
            DOHOTKU ( 4.3.3. stupac 7 / sveukupni dohodak pod 5. ) u postotku</t>
  </si>
  <si>
    <t>Porez_9_5_4 + Porez_9_5_5</t>
  </si>
  <si>
    <t xml:space="preserve"> 9.5.6. UKUPNI GODIŠNJI POREZ ( 9.5.4. + 9.5.5. )</t>
  </si>
  <si>
    <t>Porez_9_5_6 + Prirez_9_5_7</t>
  </si>
  <si>
    <t>Porez_9_5_6 * Stopa_9_5_7</t>
  </si>
  <si>
    <t xml:space="preserve"> 9.5.7. GODIŠNJI PRIREZ ( 9.5.6. * stopa prireza )</t>
  </si>
  <si>
    <t>Porez_9_5_8 / Dohodak_5</t>
  </si>
  <si>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4.1.8.) ] * postotak invalidnosti. Ako se stupanj invalidnosti mijenja tijekom godine, umanjenje godišnje obveze poreza i prireza izračunava se posebno za pojedini stupanj invalidnosti te se dobiveni iznosi zbrajaju i upisuju.</t>
    </r>
  </si>
  <si>
    <t xml:space="preserve"> 9.5.8. GODIŠNJA OBVEZA POREZA I PRIREZA ( 9.5.6. + 9.5.7. )</t>
  </si>
  <si>
    <r>
      <rPr>
        <vertAlign val="superscript"/>
        <sz val="8"/>
        <color indexed="8"/>
        <rFont val="Arial"/>
        <family val="2"/>
        <charset val="238"/>
      </rPr>
      <t xml:space="preserve">1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4.3.7. stup.4. grada Vukovara)] * 100%</t>
    </r>
  </si>
  <si>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4.3.7. stup.4. prve skupine)] * 50%</t>
    </r>
  </si>
  <si>
    <t>Porez_9_5_8 * Udio_4_3_7_2</t>
  </si>
  <si>
    <t>Porez_9_5_8 * Udio_4_3_7_1 * 0,5</t>
  </si>
  <si>
    <t>Porez_9_5_8 * ( Udio_4_1_8_1 * Stupanj_4_1_8_1 + Udio_4_1_8_2 * Stupanj_4_1_8_2 )</t>
  </si>
  <si>
    <t>Porez_9_5_8 * ( Udio_4_1_5 + Udio_4_1_6 ) * 0,5</t>
  </si>
  <si>
    <t>Porez_9_5_8 - Umanjenje_9_6_3 - Umanjenje_9_6_4 - Umanjenje_9_6_6 - Umanjenje_9_6_7</t>
  </si>
  <si>
    <t xml:space="preserve">Porez_9_5_8 * Udio_4_1_2 * 0,5 + Porez_9_5_8 * Udio_4_1_4 * 0,5 </t>
  </si>
  <si>
    <t>Inozemni_5 ili ( Dohodak_4_1_3 + Dohodak_4_1_4 + Dohodak_4_1_6 + Dohodak_4_2_2 + Dohodak_4_3_1 ) * Stopa_9_5_9, biram manju vrijednost</t>
  </si>
  <si>
    <t xml:space="preserve"> 9.5.9. PROSJEČNA POREZNA STOPA { 9.5.8. / 5.DOH * 100 )</t>
  </si>
  <si>
    <t xml:space="preserve"> 9.6.11. UPLAĆENI POREZ U INOZEMSTVU KOJI SE MOŽE ODBITI
            [ ( 4.1.3. + 4.1.4. + 4.1.6. + 4.2.2. + 4.3.1. ) * 9.5.9 ] ≤ 9.6.10</t>
  </si>
  <si>
    <t xml:space="preserve"> 9.6.7. UMANJENJE ZA 50% RAZMJERNOG DIJELA POREZNE OBVEZE KOJA 
            SE ODNOSI NA DOHODAK OSTVAREN U VUKOVARU I NA PODRUČJIMA 
            I. SKUPINI PO STUPNJU RAZVIJENOSTI IZ ČL. 46. ST. 1 ZAKONA</t>
  </si>
  <si>
    <t>Antunovac</t>
  </si>
  <si>
    <t>Donji Kukuruzari</t>
  </si>
  <si>
    <t>Dvor</t>
  </si>
  <si>
    <t>Krnjak</t>
  </si>
  <si>
    <t>Lasinja</t>
  </si>
  <si>
    <t>Majur</t>
  </si>
  <si>
    <t>Mihovljan</t>
  </si>
  <si>
    <t>Sisak</t>
  </si>
  <si>
    <t>2
(530,90)</t>
  </si>
  <si>
    <t>Najveći odbitak</t>
  </si>
  <si>
    <t>God. osnovica za obv. doprinose</t>
  </si>
  <si>
    <t>Uvećanje osnovnog osobnog odbitka</t>
  </si>
  <si>
    <t>5
(st. 2 + st. 4)</t>
  </si>
  <si>
    <t xml:space="preserve">osnovica od </t>
  </si>
  <si>
    <t>(u eurima i centima)</t>
  </si>
  <si>
    <t>IZNOS                     (u eurima i centima)</t>
  </si>
  <si>
    <t xml:space="preserve"> 5. SVEUKUPNO DOHODAK, UPLAĆENI POREZ
      I PRIREZ (u eurima i centima)
      ( 4.1.7. + 4.2.3. + 4.3.3.)</t>
  </si>
  <si>
    <t>v1 - 22-01-10-32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</si>
</sst>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_ ;\-#,##0.00\ "/>
    <numFmt numFmtId="166" formatCode="#,##0_ ;\-#,##0\ "/>
    <numFmt numFmtId="167" formatCode="0_ ;\-0\ "/>
    <numFmt numFmtId="168" formatCode="_-* #,##0\ _€_-;\-* #,##0\ _€_-;_-* &quot;-&quot;??\ _€_-;_-@_-"/>
  </numFmts>
  <fonts count="48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vertAlign val="superscript"/>
      <sz val="7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b/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13">
    <xf numFmtId="0" fontId="0" fillId="0" borderId="0" xfId="0"/>
    <xf numFmtId="0" fontId="13" fillId="0" borderId="0" xfId="0" applyFont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14" fillId="2" borderId="2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21" fillId="0" borderId="0" xfId="0" applyFont="1" applyAlignment="1" applyProtection="1">
      <alignment horizontal="right" vertical="center"/>
      <protection hidden="1"/>
    </xf>
    <xf numFmtId="49" fontId="12" fillId="0" borderId="21" xfId="0" applyNumberFormat="1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4" fontId="15" fillId="2" borderId="21" xfId="0" applyNumberFormat="1" applyFont="1" applyFill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horizontal="right" vertical="center"/>
      <protection hidden="1"/>
    </xf>
    <xf numFmtId="0" fontId="13" fillId="0" borderId="25" xfId="0" applyFont="1" applyBorder="1" applyProtection="1">
      <protection hidden="1"/>
    </xf>
    <xf numFmtId="0" fontId="13" fillId="0" borderId="26" xfId="0" applyFont="1" applyBorder="1" applyProtection="1">
      <protection hidden="1"/>
    </xf>
    <xf numFmtId="0" fontId="24" fillId="0" borderId="26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0" fontId="24" fillId="0" borderId="0" xfId="0" applyFont="1" applyProtection="1">
      <protection hidden="1"/>
    </xf>
    <xf numFmtId="0" fontId="13" fillId="0" borderId="29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13" fillId="0" borderId="22" xfId="0" applyFont="1" applyBorder="1" applyProtection="1">
      <protection hidden="1"/>
    </xf>
    <xf numFmtId="0" fontId="24" fillId="0" borderId="22" xfId="0" applyFont="1" applyBorder="1" applyProtection="1">
      <protection hidden="1"/>
    </xf>
    <xf numFmtId="0" fontId="13" fillId="0" borderId="30" xfId="0" applyFont="1" applyBorder="1" applyProtection="1">
      <protection hidden="1"/>
    </xf>
    <xf numFmtId="165" fontId="17" fillId="0" borderId="21" xfId="3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3" fillId="0" borderId="71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7" fillId="2" borderId="24" xfId="0" applyFont="1" applyFill="1" applyBorder="1" applyAlignment="1" applyProtection="1">
      <alignment vertical="center"/>
      <protection hidden="1"/>
    </xf>
    <xf numFmtId="0" fontId="28" fillId="2" borderId="34" xfId="0" applyFont="1" applyFill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49" fontId="30" fillId="0" borderId="0" xfId="0" applyNumberFormat="1" applyFont="1" applyAlignment="1" applyProtection="1">
      <alignment horizontal="right" vertical="center" wrapText="1"/>
      <protection hidden="1"/>
    </xf>
    <xf numFmtId="4" fontId="16" fillId="2" borderId="35" xfId="0" applyNumberFormat="1" applyFont="1" applyFill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49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6" fillId="4" borderId="38" xfId="3" applyNumberFormat="1" applyFont="1" applyFill="1" applyBorder="1" applyAlignment="1" applyProtection="1">
      <alignment horizontal="right" vertical="center"/>
      <protection locked="0"/>
    </xf>
    <xf numFmtId="165" fontId="16" fillId="4" borderId="15" xfId="3" applyNumberFormat="1" applyFont="1" applyFill="1" applyBorder="1" applyAlignment="1" applyProtection="1">
      <alignment horizontal="right" vertical="center"/>
      <protection locked="0"/>
    </xf>
    <xf numFmtId="49" fontId="14" fillId="4" borderId="38" xfId="0" applyNumberFormat="1" applyFont="1" applyFill="1" applyBorder="1" applyAlignment="1" applyProtection="1">
      <alignment horizontal="center" vertical="center"/>
      <protection locked="0"/>
    </xf>
    <xf numFmtId="49" fontId="14" fillId="4" borderId="39" xfId="0" applyNumberFormat="1" applyFont="1" applyFill="1" applyBorder="1" applyAlignment="1" applyProtection="1">
      <alignment horizontal="center" vertical="center"/>
      <protection locked="0"/>
    </xf>
    <xf numFmtId="49" fontId="14" fillId="4" borderId="1" xfId="0" applyNumberFormat="1" applyFont="1" applyFill="1" applyBorder="1" applyAlignment="1" applyProtection="1">
      <alignment horizontal="center" vertical="center"/>
      <protection locked="0"/>
    </xf>
    <xf numFmtId="10" fontId="14" fillId="4" borderId="38" xfId="2" applyNumberFormat="1" applyFont="1" applyFill="1" applyBorder="1" applyAlignment="1" applyProtection="1">
      <alignment horizontal="right" vertical="center"/>
      <protection locked="0"/>
    </xf>
    <xf numFmtId="49" fontId="14" fillId="4" borderId="13" xfId="0" applyNumberFormat="1" applyFont="1" applyFill="1" applyBorder="1" applyAlignment="1" applyProtection="1">
      <alignment horizontal="center" vertical="center"/>
      <protection locked="0"/>
    </xf>
    <xf numFmtId="49" fontId="14" fillId="4" borderId="6" xfId="0" applyNumberFormat="1" applyFont="1" applyFill="1" applyBorder="1" applyAlignment="1" applyProtection="1">
      <alignment horizontal="center" vertical="center"/>
      <protection locked="0"/>
    </xf>
    <xf numFmtId="10" fontId="14" fillId="4" borderId="39" xfId="2" applyNumberFormat="1" applyFont="1" applyFill="1" applyBorder="1" applyAlignment="1" applyProtection="1">
      <alignment horizontal="right" vertical="center"/>
      <protection locked="0"/>
    </xf>
    <xf numFmtId="0" fontId="15" fillId="0" borderId="26" xfId="0" applyFont="1" applyBorder="1" applyAlignment="1" applyProtection="1">
      <alignment vertical="center"/>
      <protection hidden="1"/>
    </xf>
    <xf numFmtId="49" fontId="17" fillId="0" borderId="0" xfId="0" applyNumberFormat="1" applyFont="1" applyAlignment="1" applyProtection="1">
      <alignment horizontal="left" vertical="center" wrapText="1"/>
      <protection hidden="1"/>
    </xf>
    <xf numFmtId="4" fontId="17" fillId="3" borderId="0" xfId="0" applyNumberFormat="1" applyFont="1" applyFill="1" applyAlignment="1" applyProtection="1">
      <alignment horizontal="right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49" fontId="16" fillId="4" borderId="35" xfId="0" applyNumberFormat="1" applyFont="1" applyFill="1" applyBorder="1" applyAlignment="1" applyProtection="1">
      <alignment horizontal="center" vertical="center"/>
      <protection locked="0"/>
    </xf>
    <xf numFmtId="49" fontId="16" fillId="4" borderId="40" xfId="0" applyNumberFormat="1" applyFont="1" applyFill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49" fontId="14" fillId="0" borderId="4" xfId="0" applyNumberFormat="1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wrapText="1"/>
      <protection hidden="1"/>
    </xf>
    <xf numFmtId="49" fontId="14" fillId="0" borderId="37" xfId="0" applyNumberFormat="1" applyFont="1" applyBorder="1" applyAlignment="1" applyProtection="1">
      <alignment horizontal="center" vertical="center" wrapText="1"/>
      <protection hidden="1"/>
    </xf>
    <xf numFmtId="49" fontId="14" fillId="0" borderId="38" xfId="0" applyNumberFormat="1" applyFont="1" applyBorder="1" applyAlignment="1" applyProtection="1">
      <alignment horizontal="center" vertical="center" wrapText="1"/>
      <protection hidden="1"/>
    </xf>
    <xf numFmtId="49" fontId="14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49" fontId="14" fillId="0" borderId="41" xfId="0" applyNumberFormat="1" applyFont="1" applyBorder="1" applyAlignment="1" applyProtection="1">
      <alignment horizontal="center" vertical="center" wrapText="1"/>
      <protection hidden="1"/>
    </xf>
    <xf numFmtId="49" fontId="14" fillId="0" borderId="40" xfId="0" applyNumberFormat="1" applyFont="1" applyBorder="1" applyAlignment="1" applyProtection="1">
      <alignment horizontal="left" vertical="center" wrapText="1"/>
      <protection hidden="1"/>
    </xf>
    <xf numFmtId="49" fontId="14" fillId="0" borderId="35" xfId="0" applyNumberFormat="1" applyFont="1" applyBorder="1" applyAlignment="1" applyProtection="1">
      <alignment horizontal="left" vertical="center" wrapText="1"/>
      <protection hidden="1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4" fontId="17" fillId="3" borderId="38" xfId="0" applyNumberFormat="1" applyFont="1" applyFill="1" applyBorder="1" applyAlignment="1" applyProtection="1">
      <alignment horizontal="right" vertical="center"/>
      <protection hidden="1"/>
    </xf>
    <xf numFmtId="4" fontId="17" fillId="3" borderId="37" xfId="0" applyNumberFormat="1" applyFont="1" applyFill="1" applyBorder="1" applyAlignment="1" applyProtection="1">
      <alignment horizontal="right" vertical="center"/>
      <protection hidden="1"/>
    </xf>
    <xf numFmtId="4" fontId="17" fillId="3" borderId="18" xfId="0" applyNumberFormat="1" applyFont="1" applyFill="1" applyBorder="1" applyAlignment="1" applyProtection="1">
      <alignment horizontal="right" vertical="center"/>
      <protection hidden="1"/>
    </xf>
    <xf numFmtId="4" fontId="17" fillId="3" borderId="51" xfId="0" applyNumberFormat="1" applyFont="1" applyFill="1" applyBorder="1" applyAlignment="1" applyProtection="1">
      <alignment horizontal="right" vertical="center"/>
      <protection hidden="1"/>
    </xf>
    <xf numFmtId="0" fontId="22" fillId="2" borderId="11" xfId="0" applyFont="1" applyFill="1" applyBorder="1" applyAlignment="1" applyProtection="1">
      <alignment vertical="center"/>
      <protection hidden="1"/>
    </xf>
    <xf numFmtId="0" fontId="22" fillId="2" borderId="42" xfId="0" applyFont="1" applyFill="1" applyBorder="1" applyAlignment="1" applyProtection="1">
      <alignment vertical="center"/>
      <protection hidden="1"/>
    </xf>
    <xf numFmtId="0" fontId="22" fillId="2" borderId="45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165" fontId="16" fillId="0" borderId="38" xfId="3" applyNumberFormat="1" applyFont="1" applyFill="1" applyBorder="1" applyAlignment="1" applyProtection="1">
      <alignment horizontal="right" vertical="center"/>
      <protection hidden="1"/>
    </xf>
    <xf numFmtId="165" fontId="16" fillId="0" borderId="39" xfId="3" applyNumberFormat="1" applyFont="1" applyFill="1" applyBorder="1" applyAlignment="1" applyProtection="1">
      <alignment horizontal="right" vertical="center"/>
      <protection hidden="1"/>
    </xf>
    <xf numFmtId="4" fontId="16" fillId="2" borderId="38" xfId="0" applyNumberFormat="1" applyFont="1" applyFill="1" applyBorder="1" applyAlignment="1" applyProtection="1">
      <alignment horizontal="center" vertical="center"/>
      <protection hidden="1"/>
    </xf>
    <xf numFmtId="10" fontId="17" fillId="0" borderId="21" xfId="3" applyNumberFormat="1" applyFont="1" applyFill="1" applyBorder="1" applyAlignment="1" applyProtection="1">
      <alignment horizontal="right" vertical="center" indent="1"/>
      <protection hidden="1"/>
    </xf>
    <xf numFmtId="49" fontId="24" fillId="5" borderId="25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" fontId="16" fillId="3" borderId="26" xfId="0" applyNumberFormat="1" applyFont="1" applyFill="1" applyBorder="1" applyAlignment="1" applyProtection="1">
      <alignment horizontal="righ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50" xfId="0" applyFont="1" applyBorder="1" applyAlignment="1" applyProtection="1">
      <alignment horizontal="center" vertical="center"/>
      <protection hidden="1"/>
    </xf>
    <xf numFmtId="165" fontId="16" fillId="4" borderId="39" xfId="3" applyNumberFormat="1" applyFont="1" applyFill="1" applyBorder="1" applyAlignment="1" applyProtection="1">
      <alignment horizontal="right" vertical="center"/>
      <protection locked="0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166" fontId="16" fillId="4" borderId="37" xfId="3" applyNumberFormat="1" applyFont="1" applyFill="1" applyBorder="1" applyAlignment="1" applyProtection="1">
      <alignment horizontal="right" vertical="center"/>
      <protection locked="0"/>
    </xf>
    <xf numFmtId="166" fontId="16" fillId="4" borderId="38" xfId="3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/>
      <protection hidden="1"/>
    </xf>
    <xf numFmtId="49" fontId="15" fillId="0" borderId="37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textRotation="90" wrapText="1"/>
      <protection hidden="1"/>
    </xf>
    <xf numFmtId="165" fontId="17" fillId="0" borderId="37" xfId="3" applyNumberFormat="1" applyFont="1" applyFill="1" applyBorder="1" applyAlignment="1" applyProtection="1">
      <alignment horizontal="right" vertical="center"/>
      <protection hidden="1"/>
    </xf>
    <xf numFmtId="165" fontId="17" fillId="0" borderId="38" xfId="3" applyNumberFormat="1" applyFont="1" applyFill="1" applyBorder="1" applyAlignment="1" applyProtection="1">
      <alignment horizontal="right" vertical="center"/>
      <protection hidden="1"/>
    </xf>
    <xf numFmtId="165" fontId="17" fillId="0" borderId="39" xfId="3" applyNumberFormat="1" applyFont="1" applyFill="1" applyBorder="1" applyAlignment="1" applyProtection="1">
      <alignment horizontal="right" vertical="center"/>
      <protection hidden="1"/>
    </xf>
    <xf numFmtId="0" fontId="17" fillId="0" borderId="11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3" borderId="51" xfId="2" applyNumberFormat="1" applyFont="1" applyFill="1" applyBorder="1" applyAlignment="1" applyProtection="1">
      <alignment horizontal="right" vertical="center" indent="1"/>
      <protection hidden="1"/>
    </xf>
    <xf numFmtId="14" fontId="16" fillId="4" borderId="4" xfId="0" applyNumberFormat="1" applyFont="1" applyFill="1" applyBorder="1" applyAlignment="1" applyProtection="1">
      <alignment horizontal="center" vertical="center"/>
      <protection locked="0"/>
    </xf>
    <xf numFmtId="14" fontId="16" fillId="4" borderId="1" xfId="0" applyNumberFormat="1" applyFont="1" applyFill="1" applyBorder="1" applyAlignment="1" applyProtection="1">
      <alignment horizontal="center" vertical="center"/>
      <protection locked="0"/>
    </xf>
    <xf numFmtId="14" fontId="16" fillId="4" borderId="6" xfId="0" applyNumberFormat="1" applyFont="1" applyFill="1" applyBorder="1" applyAlignment="1" applyProtection="1">
      <alignment horizontal="center" vertical="center"/>
      <protection locked="0"/>
    </xf>
    <xf numFmtId="14" fontId="16" fillId="4" borderId="37" xfId="0" applyNumberFormat="1" applyFont="1" applyFill="1" applyBorder="1" applyAlignment="1" applyProtection="1">
      <alignment horizontal="center" vertical="center"/>
      <protection locked="0"/>
    </xf>
    <xf numFmtId="14" fontId="16" fillId="4" borderId="38" xfId="0" applyNumberFormat="1" applyFont="1" applyFill="1" applyBorder="1" applyAlignment="1" applyProtection="1">
      <alignment horizontal="center" vertical="center"/>
      <protection locked="0"/>
    </xf>
    <xf numFmtId="14" fontId="16" fillId="4" borderId="3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65" fontId="17" fillId="0" borderId="0" xfId="3" applyNumberFormat="1" applyFont="1" applyFill="1" applyBorder="1" applyAlignment="1" applyProtection="1">
      <alignment horizontal="right" vertical="center"/>
      <protection hidden="1"/>
    </xf>
    <xf numFmtId="10" fontId="17" fillId="3" borderId="37" xfId="2" applyNumberFormat="1" applyFont="1" applyFill="1" applyBorder="1" applyAlignment="1" applyProtection="1">
      <alignment horizontal="right" vertical="center" indent="1"/>
      <protection hidden="1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8" fontId="17" fillId="4" borderId="6" xfId="3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52" xfId="0" applyFont="1" applyBorder="1" applyAlignment="1" applyProtection="1">
      <alignment horizontal="center" vertical="center"/>
      <protection hidden="1"/>
    </xf>
    <xf numFmtId="4" fontId="16" fillId="2" borderId="52" xfId="0" applyNumberFormat="1" applyFont="1" applyFill="1" applyBorder="1" applyAlignment="1" applyProtection="1">
      <alignment horizontal="center" vertical="center"/>
      <protection hidden="1"/>
    </xf>
    <xf numFmtId="0" fontId="33" fillId="0" borderId="0" xfId="1" applyFont="1" applyAlignment="1" applyProtection="1">
      <alignment vertic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37" xfId="0" applyBorder="1" applyAlignment="1">
      <alignment horizontal="left"/>
    </xf>
    <xf numFmtId="0" fontId="0" fillId="0" borderId="1" xfId="0" applyBorder="1"/>
    <xf numFmtId="0" fontId="0" fillId="0" borderId="38" xfId="0" applyBorder="1" applyAlignment="1">
      <alignment horizontal="left"/>
    </xf>
    <xf numFmtId="0" fontId="0" fillId="0" borderId="6" xfId="0" applyBorder="1"/>
    <xf numFmtId="0" fontId="0" fillId="0" borderId="39" xfId="0" applyBorder="1" applyAlignment="1">
      <alignment horizontal="left"/>
    </xf>
    <xf numFmtId="4" fontId="17" fillId="3" borderId="39" xfId="0" applyNumberFormat="1" applyFont="1" applyFill="1" applyBorder="1" applyAlignment="1" applyProtection="1">
      <alignment horizontal="right" vertical="center"/>
      <protection hidden="1"/>
    </xf>
    <xf numFmtId="0" fontId="42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10" fontId="17" fillId="0" borderId="63" xfId="0" applyNumberFormat="1" applyFont="1" applyBorder="1" applyAlignment="1" applyProtection="1">
      <alignment horizontal="center" vertical="center"/>
      <protection hidden="1"/>
    </xf>
    <xf numFmtId="10" fontId="17" fillId="0" borderId="45" xfId="0" applyNumberFormat="1" applyFont="1" applyBorder="1" applyAlignment="1" applyProtection="1">
      <alignment horizontal="center" vertical="center"/>
      <protection hidden="1"/>
    </xf>
    <xf numFmtId="4" fontId="46" fillId="3" borderId="18" xfId="0" applyNumberFormat="1" applyFont="1" applyFill="1" applyBorder="1" applyAlignment="1" applyProtection="1">
      <alignment horizontal="right" vertical="center"/>
      <protection hidden="1"/>
    </xf>
    <xf numFmtId="165" fontId="47" fillId="4" borderId="38" xfId="3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indent="1"/>
    </xf>
    <xf numFmtId="0" fontId="0" fillId="0" borderId="79" xfId="0" applyBorder="1" applyAlignment="1">
      <alignment horizontal="right" indent="1"/>
    </xf>
    <xf numFmtId="0" fontId="41" fillId="0" borderId="0" xfId="0" applyFont="1" applyAlignment="1">
      <alignment horizontal="right" vertical="top" wrapText="1" indent="1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0" fontId="0" fillId="0" borderId="31" xfId="0" applyBorder="1" applyAlignment="1">
      <alignment horizontal="right" indent="1"/>
    </xf>
    <xf numFmtId="0" fontId="0" fillId="0" borderId="32" xfId="0" applyBorder="1" applyAlignment="1">
      <alignment horizontal="right" indent="1"/>
    </xf>
    <xf numFmtId="0" fontId="0" fillId="0" borderId="33" xfId="0" applyBorder="1" applyAlignment="1">
      <alignment horizontal="right" indent="1"/>
    </xf>
    <xf numFmtId="4" fontId="0" fillId="0" borderId="79" xfId="0" applyNumberFormat="1" applyBorder="1" applyAlignment="1">
      <alignment horizontal="right" indent="1"/>
    </xf>
    <xf numFmtId="10" fontId="0" fillId="0" borderId="4" xfId="0" applyNumberFormat="1" applyBorder="1" applyAlignment="1">
      <alignment horizontal="right" indent="1"/>
    </xf>
    <xf numFmtId="10" fontId="41" fillId="0" borderId="1" xfId="0" applyNumberFormat="1" applyFont="1" applyBorder="1" applyAlignment="1">
      <alignment horizontal="right" vertical="top" wrapText="1" indent="1"/>
    </xf>
    <xf numFmtId="10" fontId="0" fillId="0" borderId="0" xfId="2" applyNumberFormat="1" applyFont="1" applyAlignment="1">
      <alignment horizontal="right" indent="1"/>
    </xf>
    <xf numFmtId="10" fontId="0" fillId="0" borderId="6" xfId="0" applyNumberFormat="1" applyBorder="1" applyAlignment="1">
      <alignment horizontal="right" indent="1"/>
    </xf>
    <xf numFmtId="0" fontId="0" fillId="0" borderId="0" xfId="0" applyAlignment="1">
      <alignment horizontal="left" indent="1"/>
    </xf>
    <xf numFmtId="0" fontId="41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indent="1"/>
    </xf>
    <xf numFmtId="0" fontId="41" fillId="0" borderId="0" xfId="0" applyFont="1" applyAlignment="1">
      <alignment horizontal="left" vertical="top" wrapText="1" indent="1"/>
    </xf>
    <xf numFmtId="4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 indent="1"/>
    </xf>
    <xf numFmtId="0" fontId="41" fillId="0" borderId="6" xfId="0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10" fontId="17" fillId="0" borderId="80" xfId="0" applyNumberFormat="1" applyFont="1" applyBorder="1" applyAlignment="1" applyProtection="1">
      <alignment horizontal="center" vertical="center"/>
      <protection hidden="1"/>
    </xf>
    <xf numFmtId="10" fontId="17" fillId="0" borderId="83" xfId="0" applyNumberFormat="1" applyFont="1" applyBorder="1" applyAlignment="1" applyProtection="1">
      <alignment horizontal="center" vertical="center"/>
      <protection hidden="1"/>
    </xf>
    <xf numFmtId="49" fontId="22" fillId="4" borderId="35" xfId="0" applyNumberFormat="1" applyFont="1" applyFill="1" applyBorder="1" applyAlignment="1" applyProtection="1">
      <alignment horizontal="center" vertical="center"/>
      <protection locked="0"/>
    </xf>
    <xf numFmtId="49" fontId="22" fillId="4" borderId="42" xfId="0" applyNumberFormat="1" applyFont="1" applyFill="1" applyBorder="1" applyAlignment="1" applyProtection="1">
      <alignment horizontal="center" vertical="center"/>
      <protection locked="0"/>
    </xf>
    <xf numFmtId="49" fontId="22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3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22" xfId="0" applyFont="1" applyFill="1" applyBorder="1" applyAlignment="1" applyProtection="1">
      <alignment horizontal="left" vertical="center"/>
      <protection hidden="1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49" fontId="14" fillId="4" borderId="42" xfId="0" applyNumberFormat="1" applyFont="1" applyFill="1" applyBorder="1" applyAlignment="1" applyProtection="1">
      <alignment horizontal="left" vertical="center"/>
      <protection locked="0"/>
    </xf>
    <xf numFmtId="49" fontId="14" fillId="4" borderId="45" xfId="0" applyNumberFormat="1" applyFont="1" applyFill="1" applyBorder="1" applyAlignment="1" applyProtection="1">
      <alignment horizontal="left" vertical="center"/>
      <protection locked="0"/>
    </xf>
    <xf numFmtId="49" fontId="14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5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3" xfId="0" applyNumberFormat="1" applyFont="1" applyFill="1" applyBorder="1" applyAlignment="1" applyProtection="1">
      <alignment horizontal="left" vertical="center"/>
      <protection locked="0"/>
    </xf>
    <xf numFmtId="49" fontId="14" fillId="4" borderId="7" xfId="0" applyNumberFormat="1" applyFont="1" applyFill="1" applyBorder="1" applyAlignment="1" applyProtection="1">
      <alignment horizontal="left" vertical="center"/>
      <protection locked="0"/>
    </xf>
    <xf numFmtId="49" fontId="14" fillId="4" borderId="8" xfId="0" applyNumberFormat="1" applyFont="1" applyFill="1" applyBorder="1" applyAlignment="1" applyProtection="1">
      <alignment horizontal="left" vertical="center"/>
      <protection locked="0"/>
    </xf>
    <xf numFmtId="49" fontId="14" fillId="4" borderId="65" xfId="0" applyNumberFormat="1" applyFont="1" applyFill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35" fillId="6" borderId="25" xfId="0" applyFont="1" applyFill="1" applyBorder="1" applyAlignment="1" applyProtection="1">
      <alignment horizontal="left" vertical="center"/>
      <protection hidden="1"/>
    </xf>
    <xf numFmtId="0" fontId="35" fillId="6" borderId="26" xfId="0" applyFont="1" applyFill="1" applyBorder="1" applyAlignment="1" applyProtection="1">
      <alignment horizontal="left" vertical="center"/>
      <protection hidden="1"/>
    </xf>
    <xf numFmtId="0" fontId="35" fillId="6" borderId="27" xfId="0" applyFont="1" applyFill="1" applyBorder="1" applyAlignment="1" applyProtection="1">
      <alignment horizontal="left" vertical="center"/>
      <protection hidden="1"/>
    </xf>
    <xf numFmtId="0" fontId="36" fillId="2" borderId="42" xfId="0" applyFont="1" applyFill="1" applyBorder="1" applyAlignment="1" applyProtection="1">
      <alignment horizontal="left" vertical="center"/>
      <protection hidden="1"/>
    </xf>
    <xf numFmtId="0" fontId="36" fillId="2" borderId="45" xfId="0" applyFont="1" applyFill="1" applyBorder="1" applyAlignment="1" applyProtection="1">
      <alignment horizontal="left" vertical="center"/>
      <protection hidden="1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7" fillId="4" borderId="42" xfId="0" applyFont="1" applyFill="1" applyBorder="1" applyAlignment="1" applyProtection="1">
      <alignment horizontal="center" vertical="center"/>
      <protection locked="0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10" fontId="14" fillId="4" borderId="35" xfId="2" applyNumberFormat="1" applyFont="1" applyFill="1" applyBorder="1" applyAlignment="1" applyProtection="1">
      <alignment horizontal="center" vertical="center"/>
      <protection locked="0"/>
    </xf>
    <xf numFmtId="10" fontId="14" fillId="4" borderId="42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4" fontId="15" fillId="4" borderId="40" xfId="0" applyNumberFormat="1" applyFont="1" applyFill="1" applyBorder="1" applyAlignment="1" applyProtection="1">
      <alignment horizontal="right" vertical="center"/>
      <protection locked="0"/>
    </xf>
    <xf numFmtId="4" fontId="15" fillId="4" borderId="55" xfId="0" applyNumberFormat="1" applyFont="1" applyFill="1" applyBorder="1" applyAlignment="1" applyProtection="1">
      <alignment horizontal="right" vertical="center"/>
      <protection locked="0"/>
    </xf>
    <xf numFmtId="4" fontId="15" fillId="4" borderId="66" xfId="0" applyNumberFormat="1" applyFont="1" applyFill="1" applyBorder="1" applyAlignment="1" applyProtection="1">
      <alignment horizontal="right" vertical="center"/>
      <protection locked="0"/>
    </xf>
    <xf numFmtId="0" fontId="36" fillId="2" borderId="59" xfId="0" applyFont="1" applyFill="1" applyBorder="1" applyAlignment="1" applyProtection="1">
      <alignment horizontal="left" vertical="center"/>
      <protection hidden="1"/>
    </xf>
    <xf numFmtId="0" fontId="36" fillId="2" borderId="60" xfId="0" applyFont="1" applyFill="1" applyBorder="1" applyAlignment="1" applyProtection="1">
      <alignment horizontal="left" vertical="center"/>
      <protection hidden="1"/>
    </xf>
    <xf numFmtId="0" fontId="36" fillId="2" borderId="8" xfId="0" applyFont="1" applyFill="1" applyBorder="1" applyAlignment="1" applyProtection="1">
      <alignment horizontal="left" vertical="center"/>
      <protection hidden="1"/>
    </xf>
    <xf numFmtId="0" fontId="36" fillId="2" borderId="61" xfId="0" applyFont="1" applyFill="1" applyBorder="1" applyAlignment="1" applyProtection="1">
      <alignment horizontal="left" vertical="center"/>
      <protection hidden="1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14" fillId="0" borderId="58" xfId="0" applyFont="1" applyBorder="1" applyAlignment="1" applyProtection="1">
      <alignment horizontal="center" vertical="center"/>
      <protection hidden="1"/>
    </xf>
    <xf numFmtId="0" fontId="14" fillId="0" borderId="47" xfId="0" applyFont="1" applyBorder="1" applyAlignment="1" applyProtection="1">
      <alignment horizontal="center" vertical="center"/>
      <protection hidden="1"/>
    </xf>
    <xf numFmtId="0" fontId="14" fillId="0" borderId="59" xfId="0" applyFont="1" applyBorder="1" applyAlignment="1" applyProtection="1">
      <alignment horizontal="center" vertical="center"/>
      <protection hidden="1"/>
    </xf>
    <xf numFmtId="0" fontId="14" fillId="0" borderId="60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22" fillId="2" borderId="53" xfId="0" applyFont="1" applyFill="1" applyBorder="1" applyAlignment="1" applyProtection="1">
      <alignment horizontal="left" vertical="center"/>
      <protection hidden="1"/>
    </xf>
    <xf numFmtId="0" fontId="22" fillId="2" borderId="54" xfId="0" applyFont="1" applyFill="1" applyBorder="1" applyAlignment="1" applyProtection="1">
      <alignment horizontal="left" vertical="center"/>
      <protection hidden="1"/>
    </xf>
    <xf numFmtId="0" fontId="22" fillId="2" borderId="41" xfId="0" applyFont="1" applyFill="1" applyBorder="1" applyAlignment="1" applyProtection="1">
      <alignment horizontal="left" vertical="center"/>
      <protection hidden="1"/>
    </xf>
    <xf numFmtId="0" fontId="22" fillId="2" borderId="11" xfId="0" applyFont="1" applyFill="1" applyBorder="1" applyAlignment="1" applyProtection="1">
      <alignment horizontal="left" vertical="center"/>
      <protection hidden="1"/>
    </xf>
    <xf numFmtId="0" fontId="22" fillId="2" borderId="42" xfId="0" applyFont="1" applyFill="1" applyBorder="1" applyAlignment="1" applyProtection="1">
      <alignment horizontal="left" vertical="center"/>
      <protection hidden="1"/>
    </xf>
    <xf numFmtId="0" fontId="22" fillId="2" borderId="45" xfId="0" applyFont="1" applyFill="1" applyBorder="1" applyAlignment="1" applyProtection="1">
      <alignment horizontal="left" vertical="center"/>
      <protection hidden="1"/>
    </xf>
    <xf numFmtId="0" fontId="35" fillId="6" borderId="20" xfId="0" applyFont="1" applyFill="1" applyBorder="1" applyAlignment="1" applyProtection="1">
      <alignment horizontal="left" vertical="center"/>
      <protection hidden="1"/>
    </xf>
    <xf numFmtId="0" fontId="35" fillId="6" borderId="24" xfId="0" applyFont="1" applyFill="1" applyBorder="1" applyAlignment="1" applyProtection="1">
      <alignment horizontal="left" vertical="center"/>
      <protection hidden="1"/>
    </xf>
    <xf numFmtId="0" fontId="35" fillId="6" borderId="34" xfId="0" applyFont="1" applyFill="1" applyBorder="1" applyAlignment="1" applyProtection="1">
      <alignment horizontal="left" vertical="center"/>
      <protection hidden="1"/>
    </xf>
    <xf numFmtId="49" fontId="22" fillId="4" borderId="49" xfId="0" applyNumberFormat="1" applyFont="1" applyFill="1" applyBorder="1" applyAlignment="1" applyProtection="1">
      <alignment horizontal="left" vertical="center"/>
      <protection locked="0"/>
    </xf>
    <xf numFmtId="49" fontId="22" fillId="4" borderId="54" xfId="0" applyNumberFormat="1" applyFont="1" applyFill="1" applyBorder="1" applyAlignment="1" applyProtection="1">
      <alignment horizontal="left" vertical="center"/>
      <protection locked="0"/>
    </xf>
    <xf numFmtId="49" fontId="22" fillId="4" borderId="50" xfId="0" applyNumberFormat="1" applyFont="1" applyFill="1" applyBorder="1" applyAlignment="1" applyProtection="1">
      <alignment horizontal="left" vertical="center"/>
      <protection locked="0"/>
    </xf>
    <xf numFmtId="49" fontId="22" fillId="4" borderId="35" xfId="0" applyNumberFormat="1" applyFont="1" applyFill="1" applyBorder="1" applyAlignment="1" applyProtection="1">
      <alignment horizontal="left" vertical="center"/>
      <protection locked="0"/>
    </xf>
    <xf numFmtId="49" fontId="22" fillId="4" borderId="42" xfId="0" applyNumberFormat="1" applyFont="1" applyFill="1" applyBorder="1" applyAlignment="1" applyProtection="1">
      <alignment horizontal="left" vertical="center"/>
      <protection locked="0"/>
    </xf>
    <xf numFmtId="49" fontId="22" fillId="4" borderId="43" xfId="0" applyNumberFormat="1" applyFont="1" applyFill="1" applyBorder="1" applyAlignment="1" applyProtection="1">
      <alignment horizontal="left" vertical="center"/>
      <protection locked="0"/>
    </xf>
    <xf numFmtId="49" fontId="14" fillId="4" borderId="40" xfId="0" applyNumberFormat="1" applyFont="1" applyFill="1" applyBorder="1" applyAlignment="1" applyProtection="1">
      <alignment horizontal="left" vertical="center"/>
      <protection locked="0"/>
    </xf>
    <xf numFmtId="49" fontId="14" fillId="4" borderId="55" xfId="0" applyNumberFormat="1" applyFont="1" applyFill="1" applyBorder="1" applyAlignment="1" applyProtection="1">
      <alignment horizontal="left" vertical="center"/>
      <protection locked="0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45" xfId="0" applyNumberFormat="1" applyFont="1" applyFill="1" applyBorder="1" applyAlignment="1" applyProtection="1">
      <alignment horizontal="center" vertical="center"/>
      <protection locked="0"/>
    </xf>
    <xf numFmtId="49" fontId="14" fillId="4" borderId="35" xfId="0" applyNumberFormat="1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vertical="center"/>
      <protection hidden="1"/>
    </xf>
    <xf numFmtId="0" fontId="22" fillId="2" borderId="24" xfId="0" applyFont="1" applyFill="1" applyBorder="1" applyAlignment="1" applyProtection="1">
      <alignment vertical="center"/>
      <protection hidden="1"/>
    </xf>
    <xf numFmtId="0" fontId="22" fillId="2" borderId="34" xfId="0" applyFont="1" applyFill="1" applyBorder="1" applyAlignment="1" applyProtection="1">
      <alignment vertical="center"/>
      <protection hidden="1"/>
    </xf>
    <xf numFmtId="0" fontId="14" fillId="0" borderId="48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63" xfId="0" applyFont="1" applyBorder="1" applyAlignment="1" applyProtection="1">
      <alignment horizontal="center" vertical="center"/>
      <protection hidden="1"/>
    </xf>
    <xf numFmtId="4" fontId="15" fillId="3" borderId="20" xfId="0" applyNumberFormat="1" applyFont="1" applyFill="1" applyBorder="1" applyAlignment="1" applyProtection="1">
      <alignment horizontal="right" vertical="center"/>
      <protection hidden="1"/>
    </xf>
    <xf numFmtId="4" fontId="15" fillId="3" borderId="24" xfId="0" applyNumberFormat="1" applyFont="1" applyFill="1" applyBorder="1" applyAlignment="1" applyProtection="1">
      <alignment horizontal="right" vertical="center"/>
      <protection hidden="1"/>
    </xf>
    <xf numFmtId="4" fontId="15" fillId="3" borderId="34" xfId="0" applyNumberFormat="1" applyFont="1" applyFill="1" applyBorder="1" applyAlignment="1" applyProtection="1">
      <alignment horizontal="right" vertical="center"/>
      <protection hidden="1"/>
    </xf>
    <xf numFmtId="0" fontId="36" fillId="3" borderId="59" xfId="0" applyFont="1" applyFill="1" applyBorder="1" applyAlignment="1" applyProtection="1">
      <alignment horizontal="left" vertical="center"/>
      <protection hidden="1"/>
    </xf>
    <xf numFmtId="0" fontId="36" fillId="3" borderId="60" xfId="0" applyFont="1" applyFill="1" applyBorder="1" applyAlignment="1" applyProtection="1">
      <alignment horizontal="left" vertical="center"/>
      <protection hidden="1"/>
    </xf>
    <xf numFmtId="0" fontId="36" fillId="3" borderId="55" xfId="0" applyFont="1" applyFill="1" applyBorder="1" applyAlignment="1" applyProtection="1">
      <alignment horizontal="left" vertical="center"/>
      <protection hidden="1"/>
    </xf>
    <xf numFmtId="0" fontId="36" fillId="3" borderId="57" xfId="0" applyFont="1" applyFill="1" applyBorder="1" applyAlignment="1" applyProtection="1">
      <alignment horizontal="left" vertical="center"/>
      <protection hidden="1"/>
    </xf>
    <xf numFmtId="49" fontId="14" fillId="0" borderId="23" xfId="0" applyNumberFormat="1" applyFont="1" applyBorder="1" applyAlignment="1" applyProtection="1">
      <alignment horizontal="center" vertical="center" wrapText="1"/>
      <protection hidden="1"/>
    </xf>
    <xf numFmtId="49" fontId="14" fillId="0" borderId="56" xfId="0" applyNumberFormat="1" applyFont="1" applyBorder="1" applyAlignment="1" applyProtection="1">
      <alignment horizontal="center" vertical="center" wrapText="1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7" xfId="0" applyFont="1" applyBorder="1" applyAlignment="1" applyProtection="1">
      <alignment horizontal="center" vertical="center"/>
      <protection hidden="1"/>
    </xf>
    <xf numFmtId="49" fontId="14" fillId="4" borderId="61" xfId="0" applyNumberFormat="1" applyFont="1" applyFill="1" applyBorder="1" applyAlignment="1" applyProtection="1">
      <alignment horizontal="left" vertical="center"/>
      <protection locked="0"/>
    </xf>
    <xf numFmtId="49" fontId="14" fillId="0" borderId="62" xfId="0" applyNumberFormat="1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64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22" fillId="2" borderId="20" xfId="0" applyFont="1" applyFill="1" applyBorder="1" applyAlignment="1" applyProtection="1">
      <alignment horizontal="left" vertical="center"/>
      <protection hidden="1"/>
    </xf>
    <xf numFmtId="0" fontId="22" fillId="2" borderId="24" xfId="0" applyFont="1" applyFill="1" applyBorder="1" applyAlignment="1" applyProtection="1">
      <alignment horizontal="left" vertical="center"/>
      <protection hidden="1"/>
    </xf>
    <xf numFmtId="0" fontId="22" fillId="2" borderId="34" xfId="0" applyFont="1" applyFill="1" applyBorder="1" applyAlignment="1" applyProtection="1">
      <alignment horizontal="left" vertical="center"/>
      <protection hidden="1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49" fontId="14" fillId="4" borderId="61" xfId="0" applyNumberFormat="1" applyFont="1" applyFill="1" applyBorder="1" applyAlignment="1" applyProtection="1">
      <alignment horizontal="center" vertical="center"/>
      <protection locked="0"/>
    </xf>
    <xf numFmtId="49" fontId="14" fillId="4" borderId="47" xfId="0" applyNumberFormat="1" applyFont="1" applyFill="1" applyBorder="1" applyAlignment="1" applyProtection="1">
      <alignment horizontal="left" vertical="center"/>
      <protection locked="0"/>
    </xf>
    <xf numFmtId="49" fontId="14" fillId="4" borderId="59" xfId="0" applyNumberFormat="1" applyFont="1" applyFill="1" applyBorder="1" applyAlignment="1" applyProtection="1">
      <alignment horizontal="left" vertical="center"/>
      <protection locked="0"/>
    </xf>
    <xf numFmtId="49" fontId="14" fillId="4" borderId="64" xfId="0" applyNumberFormat="1" applyFont="1" applyFill="1" applyBorder="1" applyAlignment="1" applyProtection="1">
      <alignment horizontal="left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6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6" xfId="0" applyNumberFormat="1" applyFont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49" fontId="14" fillId="0" borderId="13" xfId="0" applyNumberFormat="1" applyFont="1" applyBorder="1" applyAlignment="1" applyProtection="1">
      <alignment horizontal="center" vertical="center" wrapText="1"/>
      <protection hidden="1"/>
    </xf>
    <xf numFmtId="49" fontId="14" fillId="0" borderId="14" xfId="0" applyNumberFormat="1" applyFont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 applyProtection="1">
      <alignment horizontal="center" vertical="center" wrapText="1"/>
      <protection hidden="1"/>
    </xf>
    <xf numFmtId="4" fontId="15" fillId="4" borderId="47" xfId="0" applyNumberFormat="1" applyFont="1" applyFill="1" applyBorder="1" applyAlignment="1" applyProtection="1">
      <alignment horizontal="right" vertical="center"/>
      <protection locked="0"/>
    </xf>
    <xf numFmtId="4" fontId="15" fillId="4" borderId="59" xfId="0" applyNumberFormat="1" applyFont="1" applyFill="1" applyBorder="1" applyAlignment="1" applyProtection="1">
      <alignment horizontal="right" vertical="center"/>
      <protection locked="0"/>
    </xf>
    <xf numFmtId="4" fontId="15" fillId="4" borderId="64" xfId="0" applyNumberFormat="1" applyFont="1" applyFill="1" applyBorder="1" applyAlignment="1" applyProtection="1">
      <alignment horizontal="right" vertical="center"/>
      <protection locked="0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5" fillId="0" borderId="63" xfId="0" applyNumberFormat="1" applyFont="1" applyBorder="1" applyAlignment="1" applyProtection="1">
      <alignment horizontal="center" vertical="center" wrapText="1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58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60" xfId="0" applyNumberFormat="1" applyFont="1" applyBorder="1" applyAlignment="1" applyProtection="1">
      <alignment horizontal="center" vertical="center" wrapText="1"/>
      <protection hidden="1"/>
    </xf>
    <xf numFmtId="0" fontId="23" fillId="2" borderId="67" xfId="0" applyFont="1" applyFill="1" applyBorder="1" applyAlignment="1" applyProtection="1">
      <alignment horizontal="left" vertical="center"/>
      <protection hidden="1"/>
    </xf>
    <xf numFmtId="0" fontId="23" fillId="2" borderId="68" xfId="0" applyFont="1" applyFill="1" applyBorder="1" applyAlignment="1" applyProtection="1">
      <alignment horizontal="left" vertical="center"/>
      <protection hidden="1"/>
    </xf>
    <xf numFmtId="0" fontId="23" fillId="2" borderId="69" xfId="0" applyFont="1" applyFill="1" applyBorder="1" applyAlignment="1" applyProtection="1">
      <alignment horizontal="left" vertical="center"/>
      <protection hidden="1"/>
    </xf>
    <xf numFmtId="49" fontId="15" fillId="0" borderId="31" xfId="0" applyNumberFormat="1" applyFont="1" applyBorder="1" applyAlignment="1" applyProtection="1">
      <alignment horizontal="center" vertical="center" wrapText="1"/>
      <protection hidden="1"/>
    </xf>
    <xf numFmtId="49" fontId="15" fillId="0" borderId="32" xfId="0" applyNumberFormat="1" applyFont="1" applyBorder="1" applyAlignment="1" applyProtection="1">
      <alignment horizontal="center" vertical="center" wrapText="1"/>
      <protection hidden="1"/>
    </xf>
    <xf numFmtId="49" fontId="16" fillId="4" borderId="35" xfId="0" applyNumberFormat="1" applyFont="1" applyFill="1" applyBorder="1" applyAlignment="1" applyProtection="1">
      <alignment horizontal="right" vertical="center"/>
      <protection locked="0"/>
    </xf>
    <xf numFmtId="49" fontId="16" fillId="4" borderId="42" xfId="0" applyNumberFormat="1" applyFont="1" applyFill="1" applyBorder="1" applyAlignment="1" applyProtection="1">
      <alignment horizontal="right" vertical="center"/>
      <protection locked="0"/>
    </xf>
    <xf numFmtId="49" fontId="15" fillId="0" borderId="14" xfId="0" applyNumberFormat="1" applyFont="1" applyBorder="1" applyAlignment="1" applyProtection="1">
      <alignment horizontal="center" vertical="center" wrapText="1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165" fontId="16" fillId="4" borderId="45" xfId="3" applyNumberFormat="1" applyFont="1" applyFill="1" applyBorder="1" applyAlignment="1" applyProtection="1">
      <alignment horizontal="right" vertical="center"/>
      <protection locked="0"/>
    </xf>
    <xf numFmtId="0" fontId="24" fillId="5" borderId="20" xfId="0" applyFont="1" applyFill="1" applyBorder="1" applyAlignment="1" applyProtection="1">
      <alignment horizontal="left" vertical="center" wrapText="1"/>
      <protection hidden="1"/>
    </xf>
    <xf numFmtId="0" fontId="24" fillId="5" borderId="24" xfId="0" applyFont="1" applyFill="1" applyBorder="1" applyAlignment="1" applyProtection="1">
      <alignment horizontal="left" vertical="center"/>
      <protection hidden="1"/>
    </xf>
    <xf numFmtId="0" fontId="24" fillId="5" borderId="34" xfId="0" applyFont="1" applyFill="1" applyBorder="1" applyAlignment="1" applyProtection="1">
      <alignment horizontal="left" vertical="center"/>
      <protection hidden="1"/>
    </xf>
    <xf numFmtId="49" fontId="15" fillId="0" borderId="26" xfId="0" applyNumberFormat="1" applyFont="1" applyBorder="1" applyAlignment="1" applyProtection="1">
      <alignment horizontal="center" vertical="center" wrapText="1"/>
      <protection hidden="1"/>
    </xf>
    <xf numFmtId="49" fontId="15" fillId="0" borderId="59" xfId="0" applyNumberFormat="1" applyFont="1" applyBorder="1" applyAlignment="1" applyProtection="1">
      <alignment horizontal="center" vertical="center" wrapText="1"/>
      <protection hidden="1"/>
    </xf>
    <xf numFmtId="49" fontId="15" fillId="0" borderId="49" xfId="0" applyNumberFormat="1" applyFont="1" applyBorder="1" applyAlignment="1" applyProtection="1">
      <alignment horizontal="center" vertical="center" wrapText="1"/>
      <protection hidden="1"/>
    </xf>
    <xf numFmtId="49" fontId="15" fillId="0" borderId="50" xfId="0" applyNumberFormat="1" applyFont="1" applyBorder="1" applyAlignment="1" applyProtection="1">
      <alignment horizontal="center" vertical="center" wrapText="1"/>
      <protection hidden="1"/>
    </xf>
    <xf numFmtId="49" fontId="15" fillId="0" borderId="16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49" fontId="16" fillId="4" borderId="45" xfId="0" applyNumberFormat="1" applyFont="1" applyFill="1" applyBorder="1" applyAlignment="1" applyProtection="1">
      <alignment horizontal="right" vertical="center"/>
      <protection locked="0"/>
    </xf>
    <xf numFmtId="49" fontId="16" fillId="4" borderId="7" xfId="0" applyNumberFormat="1" applyFont="1" applyFill="1" applyBorder="1" applyAlignment="1" applyProtection="1">
      <alignment horizontal="right" vertical="center"/>
      <protection locked="0"/>
    </xf>
    <xf numFmtId="49" fontId="16" fillId="4" borderId="8" xfId="0" applyNumberFormat="1" applyFont="1" applyFill="1" applyBorder="1" applyAlignment="1" applyProtection="1">
      <alignment horizontal="right" vertical="center"/>
      <protection locked="0"/>
    </xf>
    <xf numFmtId="49" fontId="16" fillId="4" borderId="61" xfId="0" applyNumberFormat="1" applyFont="1" applyFill="1" applyBorder="1" applyAlignment="1" applyProtection="1">
      <alignment horizontal="righ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hidden="1"/>
    </xf>
    <xf numFmtId="0" fontId="23" fillId="2" borderId="24" xfId="0" applyFont="1" applyFill="1" applyBorder="1" applyAlignment="1" applyProtection="1">
      <alignment horizontal="left" vertical="center"/>
      <protection hidden="1"/>
    </xf>
    <xf numFmtId="0" fontId="16" fillId="0" borderId="22" xfId="0" applyFont="1" applyBorder="1" applyAlignment="1" applyProtection="1">
      <alignment horizontal="center"/>
      <protection hidden="1"/>
    </xf>
    <xf numFmtId="0" fontId="23" fillId="5" borderId="20" xfId="0" applyFont="1" applyFill="1" applyBorder="1" applyAlignment="1" applyProtection="1">
      <alignment horizontal="left" vertical="center"/>
      <protection hidden="1"/>
    </xf>
    <xf numFmtId="0" fontId="23" fillId="5" borderId="24" xfId="0" applyFont="1" applyFill="1" applyBorder="1" applyAlignment="1" applyProtection="1">
      <alignment horizontal="left" vertical="center"/>
      <protection hidden="1"/>
    </xf>
    <xf numFmtId="0" fontId="23" fillId="5" borderId="34" xfId="0" applyFont="1" applyFill="1" applyBorder="1" applyAlignment="1" applyProtection="1">
      <alignment horizontal="left" vertical="center"/>
      <protection hidden="1"/>
    </xf>
    <xf numFmtId="0" fontId="24" fillId="5" borderId="20" xfId="0" applyFont="1" applyFill="1" applyBorder="1" applyAlignment="1" applyProtection="1">
      <alignment horizontal="left" vertical="center"/>
      <protection hidden="1"/>
    </xf>
    <xf numFmtId="49" fontId="15" fillId="0" borderId="41" xfId="0" applyNumberFormat="1" applyFont="1" applyBorder="1" applyAlignment="1" applyProtection="1">
      <alignment horizontal="center" vertical="center" wrapText="1"/>
      <protection hidden="1"/>
    </xf>
    <xf numFmtId="165" fontId="17" fillId="0" borderId="20" xfId="3" applyNumberFormat="1" applyFont="1" applyFill="1" applyBorder="1" applyAlignment="1" applyProtection="1">
      <alignment horizontal="right" vertical="center"/>
      <protection hidden="1"/>
    </xf>
    <xf numFmtId="165" fontId="17" fillId="0" borderId="34" xfId="3" applyNumberFormat="1" applyFont="1" applyFill="1" applyBorder="1" applyAlignment="1" applyProtection="1">
      <alignment horizontal="right" vertical="center"/>
      <protection hidden="1"/>
    </xf>
    <xf numFmtId="49" fontId="15" fillId="0" borderId="36" xfId="0" applyNumberFormat="1" applyFont="1" applyBorder="1" applyAlignment="1" applyProtection="1">
      <alignment horizontal="center" vertical="center" wrapText="1"/>
      <protection hidden="1"/>
    </xf>
    <xf numFmtId="165" fontId="16" fillId="4" borderId="42" xfId="3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49" fontId="14" fillId="0" borderId="40" xfId="0" applyNumberFormat="1" applyFont="1" applyBorder="1" applyAlignment="1" applyProtection="1">
      <alignment horizontal="center" vertical="center" wrapText="1"/>
      <protection hidden="1"/>
    </xf>
    <xf numFmtId="49" fontId="14" fillId="0" borderId="66" xfId="0" applyNumberFormat="1" applyFont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3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0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4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5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6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7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8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0" xfId="0" applyNumberFormat="1" applyFont="1" applyFill="1" applyAlignment="1" applyProtection="1">
      <alignment horizontal="left" vertical="center" wrapText="1"/>
      <protection hidden="1"/>
    </xf>
    <xf numFmtId="49" fontId="24" fillId="5" borderId="2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2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4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4" xfId="0" applyNumberFormat="1" applyFont="1" applyFill="1" applyBorder="1" applyAlignment="1" applyProtection="1">
      <alignment horizontal="left" vertical="center" wrapText="1"/>
      <protection hidden="1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49" fontId="14" fillId="0" borderId="42" xfId="0" applyNumberFormat="1" applyFont="1" applyBorder="1" applyAlignment="1" applyProtection="1">
      <alignment horizontal="center" vertical="center" wrapText="1"/>
      <protection hidden="1"/>
    </xf>
    <xf numFmtId="10" fontId="16" fillId="4" borderId="1" xfId="0" applyNumberFormat="1" applyFont="1" applyFill="1" applyBorder="1" applyAlignment="1" applyProtection="1">
      <alignment horizontal="center" vertical="center"/>
      <protection locked="0"/>
    </xf>
    <xf numFmtId="4" fontId="16" fillId="4" borderId="1" xfId="3" applyNumberFormat="1" applyFont="1" applyFill="1" applyBorder="1" applyAlignment="1" applyProtection="1">
      <alignment horizontal="right" vertical="center"/>
      <protection locked="0"/>
    </xf>
    <xf numFmtId="4" fontId="16" fillId="4" borderId="35" xfId="3" applyNumberFormat="1" applyFont="1" applyFill="1" applyBorder="1" applyAlignment="1" applyProtection="1">
      <alignment horizontal="right" vertical="center"/>
      <protection locked="0"/>
    </xf>
    <xf numFmtId="10" fontId="17" fillId="0" borderId="20" xfId="3" applyNumberFormat="1" applyFont="1" applyFill="1" applyBorder="1" applyAlignment="1" applyProtection="1">
      <alignment horizontal="right" vertical="center" indent="1"/>
      <protection hidden="1"/>
    </xf>
    <xf numFmtId="10" fontId="17" fillId="0" borderId="34" xfId="3" applyNumberFormat="1" applyFont="1" applyFill="1" applyBorder="1" applyAlignment="1" applyProtection="1">
      <alignment horizontal="right" vertical="center" indent="1"/>
      <protection hidden="1"/>
    </xf>
    <xf numFmtId="49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32" fillId="0" borderId="0" xfId="0" applyFont="1" applyAlignment="1" applyProtection="1">
      <alignment horizontal="left" vertical="top" wrapText="1"/>
      <protection hidden="1"/>
    </xf>
    <xf numFmtId="10" fontId="16" fillId="4" borderId="6" xfId="0" applyNumberFormat="1" applyFont="1" applyFill="1" applyBorder="1" applyAlignment="1" applyProtection="1">
      <alignment horizontal="center" vertical="center"/>
      <protection locked="0"/>
    </xf>
    <xf numFmtId="4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3" applyNumberFormat="1" applyFont="1" applyFill="1" applyBorder="1" applyAlignment="1" applyProtection="1">
      <alignment horizontal="right" vertical="center"/>
      <protection locked="0"/>
    </xf>
    <xf numFmtId="49" fontId="24" fillId="2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23" fillId="5" borderId="20" xfId="0" applyFont="1" applyFill="1" applyBorder="1" applyAlignment="1" applyProtection="1">
      <alignment horizontal="left" vertical="center" wrapText="1"/>
      <protection hidden="1"/>
    </xf>
    <xf numFmtId="49" fontId="24" fillId="2" borderId="34" xfId="0" applyNumberFormat="1" applyFont="1" applyFill="1" applyBorder="1" applyAlignment="1" applyProtection="1">
      <alignment horizontal="left" vertical="center" wrapText="1"/>
      <protection hidden="1"/>
    </xf>
    <xf numFmtId="49" fontId="16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45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49" fontId="14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63" xfId="0" applyNumberFormat="1" applyFont="1" applyBorder="1" applyAlignment="1" applyProtection="1">
      <alignment horizontal="center" vertical="center" wrapText="1"/>
      <protection hidden="1"/>
    </xf>
    <xf numFmtId="49" fontId="14" fillId="0" borderId="47" xfId="0" applyNumberFormat="1" applyFont="1" applyBorder="1" applyAlignment="1" applyProtection="1">
      <alignment horizontal="center" vertical="center" wrapText="1"/>
      <protection hidden="1"/>
    </xf>
    <xf numFmtId="49" fontId="14" fillId="0" borderId="60" xfId="0" applyNumberFormat="1" applyFont="1" applyBorder="1" applyAlignment="1" applyProtection="1">
      <alignment horizontal="center" vertical="center" wrapText="1"/>
      <protection hidden="1"/>
    </xf>
    <xf numFmtId="49" fontId="16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61" xfId="0" applyNumberFormat="1" applyFont="1" applyFill="1" applyBorder="1" applyAlignment="1" applyProtection="1">
      <alignment horizontal="left" vertical="center" wrapText="1"/>
      <protection locked="0"/>
    </xf>
    <xf numFmtId="165" fontId="16" fillId="4" borderId="35" xfId="3" applyNumberFormat="1" applyFont="1" applyFill="1" applyBorder="1" applyAlignment="1" applyProtection="1">
      <alignment vertical="center"/>
      <protection locked="0"/>
    </xf>
    <xf numFmtId="165" fontId="16" fillId="4" borderId="45" xfId="3" applyNumberFormat="1" applyFont="1" applyFill="1" applyBorder="1" applyAlignment="1" applyProtection="1">
      <alignment vertical="center"/>
      <protection locked="0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5" fontId="16" fillId="4" borderId="61" xfId="3" applyNumberFormat="1" applyFont="1" applyFill="1" applyBorder="1" applyAlignment="1" applyProtection="1">
      <alignment horizontal="right" vertical="center"/>
      <protection locked="0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4" fillId="0" borderId="41" xfId="0" applyFont="1" applyBorder="1" applyAlignment="1" applyProtection="1">
      <alignment horizontal="center" vertical="center"/>
      <protection hidden="1"/>
    </xf>
    <xf numFmtId="0" fontId="15" fillId="0" borderId="54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10" fontId="17" fillId="0" borderId="35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43" xfId="2" applyNumberFormat="1" applyFont="1" applyFill="1" applyBorder="1" applyAlignment="1" applyProtection="1">
      <alignment horizontal="right" vertical="center" indent="1"/>
      <protection hidden="1"/>
    </xf>
    <xf numFmtId="0" fontId="15" fillId="0" borderId="48" xfId="0" applyFont="1" applyBorder="1" applyAlignment="1" applyProtection="1">
      <alignment horizontal="center" vertical="center"/>
      <protection hidden="1"/>
    </xf>
    <xf numFmtId="0" fontId="15" fillId="0" borderId="63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/>
      <protection hidden="1"/>
    </xf>
    <xf numFmtId="0" fontId="15" fillId="0" borderId="58" xfId="0" applyFont="1" applyBorder="1" applyAlignment="1" applyProtection="1">
      <alignment horizontal="center" vertical="center"/>
      <protection hidden="1"/>
    </xf>
    <xf numFmtId="4" fontId="16" fillId="4" borderId="35" xfId="0" applyNumberFormat="1" applyFont="1" applyFill="1" applyBorder="1" applyAlignment="1" applyProtection="1">
      <alignment horizontal="center" vertical="center"/>
      <protection locked="0"/>
    </xf>
    <xf numFmtId="4" fontId="16" fillId="4" borderId="42" xfId="0" applyNumberFormat="1" applyFont="1" applyFill="1" applyBorder="1" applyAlignment="1" applyProtection="1">
      <alignment horizontal="center" vertical="center"/>
      <protection locked="0"/>
    </xf>
    <xf numFmtId="4" fontId="16" fillId="4" borderId="45" xfId="0" applyNumberFormat="1" applyFont="1" applyFill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left" vertical="center"/>
      <protection hidden="1"/>
    </xf>
    <xf numFmtId="0" fontId="15" fillId="0" borderId="42" xfId="0" applyFont="1" applyBorder="1" applyAlignment="1" applyProtection="1">
      <alignment horizontal="left" vertical="center"/>
      <protection hidden="1"/>
    </xf>
    <xf numFmtId="0" fontId="15" fillId="0" borderId="45" xfId="0" applyFont="1" applyBorder="1" applyAlignment="1" applyProtection="1">
      <alignment horizontal="left" vertical="center"/>
      <protection hidden="1"/>
    </xf>
    <xf numFmtId="0" fontId="17" fillId="5" borderId="20" xfId="0" applyFont="1" applyFill="1" applyBorder="1" applyAlignment="1" applyProtection="1">
      <alignment horizontal="left" vertical="center" wrapText="1"/>
      <protection hidden="1"/>
    </xf>
    <xf numFmtId="0" fontId="17" fillId="5" borderId="24" xfId="0" applyFont="1" applyFill="1" applyBorder="1" applyAlignment="1" applyProtection="1">
      <alignment horizontal="left" vertical="center" wrapText="1"/>
      <protection hidden="1"/>
    </xf>
    <xf numFmtId="0" fontId="17" fillId="5" borderId="34" xfId="0" applyFont="1" applyFill="1" applyBorder="1" applyAlignment="1" applyProtection="1">
      <alignment horizontal="left" vertical="center" wrapText="1"/>
      <protection hidden="1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0" applyNumberFormat="1" applyFont="1" applyFill="1" applyBorder="1" applyAlignment="1" applyProtection="1">
      <alignment horizontal="center" vertical="center"/>
      <protection locked="0"/>
    </xf>
    <xf numFmtId="4" fontId="16" fillId="4" borderId="8" xfId="0" applyNumberFormat="1" applyFont="1" applyFill="1" applyBorder="1" applyAlignment="1" applyProtection="1">
      <alignment horizontal="center" vertical="center"/>
      <protection locked="0"/>
    </xf>
    <xf numFmtId="4" fontId="16" fillId="4" borderId="61" xfId="0" applyNumberFormat="1" applyFont="1" applyFill="1" applyBorder="1" applyAlignment="1" applyProtection="1">
      <alignment horizontal="center" vertical="center"/>
      <protection locked="0"/>
    </xf>
    <xf numFmtId="167" fontId="16" fillId="3" borderId="35" xfId="0" applyNumberFormat="1" applyFont="1" applyFill="1" applyBorder="1" applyAlignment="1" applyProtection="1">
      <alignment horizontal="center" vertical="center"/>
      <protection hidden="1"/>
    </xf>
    <xf numFmtId="167" fontId="16" fillId="3" borderId="45" xfId="0" applyNumberFormat="1" applyFont="1" applyFill="1" applyBorder="1" applyAlignment="1" applyProtection="1">
      <alignment horizontal="center" vertical="center"/>
      <protection hidden="1"/>
    </xf>
    <xf numFmtId="0" fontId="15" fillId="0" borderId="47" xfId="0" applyFont="1" applyBorder="1" applyAlignment="1" applyProtection="1">
      <alignment horizontal="center" vertical="center"/>
      <protection hidden="1"/>
    </xf>
    <xf numFmtId="0" fontId="15" fillId="0" borderId="59" xfId="0" applyFont="1" applyBorder="1" applyAlignment="1" applyProtection="1">
      <alignment horizontal="center" vertical="center"/>
      <protection hidden="1"/>
    </xf>
    <xf numFmtId="165" fontId="17" fillId="0" borderId="35" xfId="3" applyNumberFormat="1" applyFont="1" applyFill="1" applyBorder="1" applyAlignment="1" applyProtection="1">
      <alignment horizontal="right" vertical="center"/>
      <protection hidden="1"/>
    </xf>
    <xf numFmtId="165" fontId="17" fillId="0" borderId="43" xfId="3" applyNumberFormat="1" applyFont="1" applyFill="1" applyBorder="1" applyAlignment="1" applyProtection="1">
      <alignment horizontal="right" vertical="center"/>
      <protection hidden="1"/>
    </xf>
    <xf numFmtId="10" fontId="17" fillId="0" borderId="7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65" xfId="2" applyNumberFormat="1" applyFont="1" applyFill="1" applyBorder="1" applyAlignment="1" applyProtection="1">
      <alignment horizontal="right" vertical="center" indent="1"/>
      <protection hidden="1"/>
    </xf>
    <xf numFmtId="49" fontId="15" fillId="0" borderId="27" xfId="0" applyNumberFormat="1" applyFont="1" applyBorder="1" applyAlignment="1" applyProtection="1">
      <alignment horizontal="center" vertical="center" wrapText="1"/>
      <protection hidden="1"/>
    </xf>
    <xf numFmtId="49" fontId="15" fillId="0" borderId="29" xfId="0" applyNumberFormat="1" applyFont="1" applyBorder="1" applyAlignment="1" applyProtection="1">
      <alignment horizontal="center" vertical="center" wrapText="1"/>
      <protection hidden="1"/>
    </xf>
    <xf numFmtId="49" fontId="15" fillId="0" borderId="64" xfId="0" applyNumberFormat="1" applyFont="1" applyBorder="1" applyAlignment="1" applyProtection="1">
      <alignment horizontal="center" vertical="center" wrapText="1"/>
      <protection hidden="1"/>
    </xf>
    <xf numFmtId="165" fontId="16" fillId="4" borderId="8" xfId="3" applyNumberFormat="1" applyFont="1" applyFill="1" applyBorder="1" applyAlignment="1" applyProtection="1">
      <alignment horizontal="right" vertical="center"/>
      <protection locked="0"/>
    </xf>
    <xf numFmtId="0" fontId="15" fillId="0" borderId="48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64" xfId="0" applyFont="1" applyBorder="1" applyAlignment="1" applyProtection="1">
      <alignment horizontal="center" vertical="center"/>
      <protection hidden="1"/>
    </xf>
    <xf numFmtId="0" fontId="14" fillId="0" borderId="66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165" fontId="17" fillId="0" borderId="20" xfId="3" applyNumberFormat="1" applyFont="1" applyFill="1" applyBorder="1" applyAlignment="1" applyProtection="1">
      <alignment vertical="center"/>
      <protection hidden="1"/>
    </xf>
    <xf numFmtId="165" fontId="17" fillId="0" borderId="34" xfId="3" applyNumberFormat="1" applyFont="1" applyFill="1" applyBorder="1" applyAlignment="1" applyProtection="1">
      <alignment vertical="center"/>
      <protection hidden="1"/>
    </xf>
    <xf numFmtId="0" fontId="22" fillId="5" borderId="20" xfId="0" applyFont="1" applyFill="1" applyBorder="1" applyAlignment="1" applyProtection="1">
      <alignment horizontal="left" vertical="center" wrapText="1"/>
      <protection hidden="1"/>
    </xf>
    <xf numFmtId="0" fontId="22" fillId="5" borderId="24" xfId="0" applyFont="1" applyFill="1" applyBorder="1" applyAlignment="1" applyProtection="1">
      <alignment horizontal="left" vertical="center" wrapText="1"/>
      <protection hidden="1"/>
    </xf>
    <xf numFmtId="0" fontId="22" fillId="5" borderId="34" xfId="0" applyFont="1" applyFill="1" applyBorder="1" applyAlignment="1" applyProtection="1">
      <alignment horizontal="left" vertical="center" wrapText="1"/>
      <protection hidden="1"/>
    </xf>
    <xf numFmtId="0" fontId="17" fillId="7" borderId="20" xfId="0" applyFont="1" applyFill="1" applyBorder="1" applyAlignment="1" applyProtection="1">
      <alignment horizontal="left" vertical="center" wrapText="1"/>
      <protection hidden="1"/>
    </xf>
    <xf numFmtId="0" fontId="17" fillId="7" borderId="24" xfId="0" applyFont="1" applyFill="1" applyBorder="1" applyAlignment="1" applyProtection="1">
      <alignment horizontal="left" vertical="center" wrapText="1"/>
      <protection hidden="1"/>
    </xf>
    <xf numFmtId="0" fontId="17" fillId="7" borderId="34" xfId="0" applyFont="1" applyFill="1" applyBorder="1" applyAlignment="1" applyProtection="1">
      <alignment horizontal="left" vertical="center" wrapText="1"/>
      <protection hidden="1"/>
    </xf>
    <xf numFmtId="0" fontId="23" fillId="5" borderId="24" xfId="0" applyFont="1" applyFill="1" applyBorder="1" applyAlignment="1" applyProtection="1">
      <alignment horizontal="left" vertical="center" wrapText="1"/>
      <protection hidden="1"/>
    </xf>
    <xf numFmtId="0" fontId="23" fillId="5" borderId="34" xfId="0" applyFont="1" applyFill="1" applyBorder="1" applyAlignment="1" applyProtection="1">
      <alignment horizontal="left" vertical="center" wrapText="1"/>
      <protection hidden="1"/>
    </xf>
    <xf numFmtId="49" fontId="17" fillId="3" borderId="24" xfId="0" applyNumberFormat="1" applyFont="1" applyFill="1" applyBorder="1" applyAlignment="1" applyProtection="1">
      <alignment horizontal="center" vertical="center"/>
      <protection hidden="1"/>
    </xf>
    <xf numFmtId="49" fontId="17" fillId="3" borderId="34" xfId="0" applyNumberFormat="1" applyFont="1" applyFill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horizontal="right" vertical="center"/>
      <protection hidden="1"/>
    </xf>
    <xf numFmtId="0" fontId="16" fillId="0" borderId="24" xfId="0" applyFont="1" applyBorder="1" applyAlignment="1" applyProtection="1">
      <alignment horizontal="right" vertical="center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60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 wrapText="1"/>
      <protection hidden="1"/>
    </xf>
    <xf numFmtId="0" fontId="15" fillId="0" borderId="47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left" vertical="center"/>
      <protection hidden="1"/>
    </xf>
    <xf numFmtId="0" fontId="24" fillId="2" borderId="24" xfId="0" applyFont="1" applyFill="1" applyBorder="1" applyAlignment="1" applyProtection="1">
      <alignment horizontal="left" vertical="center"/>
      <protection hidden="1"/>
    </xf>
    <xf numFmtId="0" fontId="24" fillId="2" borderId="34" xfId="0" applyFont="1" applyFill="1" applyBorder="1" applyAlignment="1" applyProtection="1">
      <alignment horizontal="left" vertical="center"/>
      <protection hidden="1"/>
    </xf>
    <xf numFmtId="167" fontId="16" fillId="4" borderId="35" xfId="3" applyNumberFormat="1" applyFont="1" applyFill="1" applyBorder="1" applyAlignment="1" applyProtection="1">
      <alignment horizontal="center" vertical="center"/>
      <protection locked="0"/>
    </xf>
    <xf numFmtId="167" fontId="16" fillId="4" borderId="45" xfId="3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left" vertical="center"/>
      <protection hidden="1"/>
    </xf>
    <xf numFmtId="0" fontId="15" fillId="0" borderId="61" xfId="0" applyFont="1" applyBorder="1" applyAlignment="1" applyProtection="1">
      <alignment horizontal="left" vertical="center"/>
      <protection hidden="1"/>
    </xf>
    <xf numFmtId="0" fontId="15" fillId="0" borderId="60" xfId="0" applyFont="1" applyBorder="1" applyAlignment="1" applyProtection="1">
      <alignment horizontal="center" vertical="center"/>
      <protection hidden="1"/>
    </xf>
    <xf numFmtId="165" fontId="17" fillId="0" borderId="7" xfId="3" applyNumberFormat="1" applyFont="1" applyFill="1" applyBorder="1" applyAlignment="1" applyProtection="1">
      <alignment horizontal="right" vertical="center"/>
      <protection hidden="1"/>
    </xf>
    <xf numFmtId="165" fontId="17" fillId="0" borderId="65" xfId="3" applyNumberFormat="1" applyFont="1" applyFill="1" applyBorder="1" applyAlignment="1" applyProtection="1">
      <alignment horizontal="right" vertical="center"/>
      <protection hidden="1"/>
    </xf>
    <xf numFmtId="167" fontId="16" fillId="3" borderId="7" xfId="0" applyNumberFormat="1" applyFont="1" applyFill="1" applyBorder="1" applyAlignment="1" applyProtection="1">
      <alignment horizontal="center" vertical="center"/>
      <protection hidden="1"/>
    </xf>
    <xf numFmtId="167" fontId="16" fillId="3" borderId="61" xfId="0" applyNumberFormat="1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0" fontId="15" fillId="0" borderId="67" xfId="0" applyFont="1" applyBorder="1" applyAlignment="1" applyProtection="1">
      <alignment horizontal="left" vertical="center"/>
      <protection hidden="1"/>
    </xf>
    <xf numFmtId="0" fontId="15" fillId="0" borderId="69" xfId="0" applyFont="1" applyBorder="1" applyAlignment="1" applyProtection="1">
      <alignment horizontal="left" vertical="center"/>
      <protection hidden="1"/>
    </xf>
    <xf numFmtId="0" fontId="15" fillId="0" borderId="70" xfId="0" applyFont="1" applyBorder="1" applyAlignment="1" applyProtection="1">
      <alignment horizontal="left" vertical="center"/>
      <protection hidden="1"/>
    </xf>
    <xf numFmtId="14" fontId="16" fillId="4" borderId="49" xfId="0" applyNumberFormat="1" applyFont="1" applyFill="1" applyBorder="1" applyAlignment="1" applyProtection="1">
      <alignment horizontal="center" vertical="center"/>
      <protection locked="0"/>
    </xf>
    <xf numFmtId="14" fontId="16" fillId="4" borderId="41" xfId="0" applyNumberFormat="1" applyFont="1" applyFill="1" applyBorder="1" applyAlignment="1" applyProtection="1">
      <alignment horizontal="center" vertical="center"/>
      <protection locked="0"/>
    </xf>
    <xf numFmtId="14" fontId="16" fillId="4" borderId="35" xfId="0" applyNumberFormat="1" applyFont="1" applyFill="1" applyBorder="1" applyAlignment="1" applyProtection="1">
      <alignment horizontal="center" vertical="center"/>
      <protection locked="0"/>
    </xf>
    <xf numFmtId="14" fontId="16" fillId="4" borderId="45" xfId="0" applyNumberFormat="1" applyFont="1" applyFill="1" applyBorder="1" applyAlignment="1" applyProtection="1">
      <alignment horizontal="center" vertical="center"/>
      <protection locked="0"/>
    </xf>
    <xf numFmtId="14" fontId="16" fillId="4" borderId="7" xfId="0" applyNumberFormat="1" applyFont="1" applyFill="1" applyBorder="1" applyAlignment="1" applyProtection="1">
      <alignment horizontal="center" vertical="center"/>
      <protection locked="0"/>
    </xf>
    <xf numFmtId="14" fontId="16" fillId="4" borderId="61" xfId="0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left" vertical="center" wrapText="1"/>
      <protection hidden="1"/>
    </xf>
    <xf numFmtId="0" fontId="14" fillId="0" borderId="42" xfId="0" applyFont="1" applyBorder="1" applyAlignment="1" applyProtection="1">
      <alignment horizontal="left" vertical="center" wrapText="1"/>
      <protection hidden="1"/>
    </xf>
    <xf numFmtId="10" fontId="16" fillId="4" borderId="35" xfId="2" applyNumberFormat="1" applyFont="1" applyFill="1" applyBorder="1" applyAlignment="1" applyProtection="1">
      <alignment horizontal="center" vertical="center"/>
      <protection locked="0"/>
    </xf>
    <xf numFmtId="10" fontId="16" fillId="4" borderId="45" xfId="2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0" fontId="15" fillId="0" borderId="4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10" fontId="16" fillId="4" borderId="7" xfId="2" applyNumberFormat="1" applyFont="1" applyFill="1" applyBorder="1" applyAlignment="1" applyProtection="1">
      <alignment horizontal="center" vertical="center"/>
      <protection locked="0"/>
    </xf>
    <xf numFmtId="10" fontId="16" fillId="4" borderId="61" xfId="2" applyNumberFormat="1" applyFont="1" applyFill="1" applyBorder="1" applyAlignment="1" applyProtection="1">
      <alignment horizontal="center" vertical="center"/>
      <protection locked="0"/>
    </xf>
    <xf numFmtId="49" fontId="1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8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1" xfId="0" applyNumberFormat="1" applyFont="1" applyBorder="1" applyAlignment="1" applyProtection="1">
      <alignment horizontal="left" vertical="center" wrapText="1"/>
      <protection hidden="1"/>
    </xf>
    <xf numFmtId="49" fontId="35" fillId="6" borderId="25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6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8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0" xfId="0" applyNumberFormat="1" applyFont="1" applyFill="1" applyAlignment="1" applyProtection="1">
      <alignment horizontal="left" vertical="center" wrapText="1"/>
      <protection hidden="1"/>
    </xf>
    <xf numFmtId="49" fontId="35" fillId="6" borderId="9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2" xfId="0" applyNumberFormat="1" applyFont="1" applyFill="1" applyBorder="1" applyAlignment="1" applyProtection="1">
      <alignment horizontal="left" vertical="center" wrapText="1"/>
      <protection hidden="1"/>
    </xf>
    <xf numFmtId="49" fontId="1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0" borderId="34" xfId="0" applyNumberFormat="1" applyFont="1" applyBorder="1" applyAlignment="1" applyProtection="1">
      <alignment horizontal="center" vertical="center" wrapText="1"/>
      <protection hidden="1"/>
    </xf>
    <xf numFmtId="49" fontId="12" fillId="0" borderId="31" xfId="0" applyNumberFormat="1" applyFont="1" applyBorder="1" applyAlignment="1" applyProtection="1">
      <alignment horizontal="center" vertical="center" wrapText="1"/>
      <protection hidden="1"/>
    </xf>
    <xf numFmtId="49" fontId="12" fillId="0" borderId="33" xfId="0" applyNumberFormat="1" applyFont="1" applyBorder="1" applyAlignment="1" applyProtection="1">
      <alignment horizontal="center" vertical="center" wrapText="1"/>
      <protection hidden="1"/>
    </xf>
    <xf numFmtId="49" fontId="35" fillId="6" borderId="20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4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34" xfId="0" applyNumberFormat="1" applyFont="1" applyFill="1" applyBorder="1" applyAlignment="1" applyProtection="1">
      <alignment horizontal="left" vertical="center" wrapText="1"/>
      <protection hidden="1"/>
    </xf>
    <xf numFmtId="49" fontId="22" fillId="0" borderId="6" xfId="0" applyNumberFormat="1" applyFont="1" applyBorder="1" applyAlignment="1" applyProtection="1">
      <alignment horizontal="left" vertical="center" wrapText="1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49" fontId="15" fillId="4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7" fillId="0" borderId="53" xfId="0" applyFont="1" applyBorder="1" applyAlignment="1" applyProtection="1">
      <alignment horizontal="left" vertical="center"/>
      <protection hidden="1"/>
    </xf>
    <xf numFmtId="0" fontId="17" fillId="0" borderId="54" xfId="0" applyFont="1" applyBorder="1" applyAlignment="1" applyProtection="1">
      <alignment horizontal="left" vertical="center"/>
      <protection hidden="1"/>
    </xf>
    <xf numFmtId="0" fontId="17" fillId="0" borderId="41" xfId="0" applyFont="1" applyBorder="1" applyAlignment="1" applyProtection="1">
      <alignment horizontal="left" vertical="center"/>
      <protection hidden="1"/>
    </xf>
    <xf numFmtId="0" fontId="17" fillId="0" borderId="11" xfId="0" applyFont="1" applyBorder="1" applyAlignment="1" applyProtection="1">
      <alignment horizontal="left" vertical="center"/>
      <protection hidden="1"/>
    </xf>
    <xf numFmtId="0" fontId="17" fillId="0" borderId="42" xfId="0" applyFont="1" applyBorder="1" applyAlignment="1" applyProtection="1">
      <alignment horizontal="left" vertical="center"/>
      <protection hidden="1"/>
    </xf>
    <xf numFmtId="0" fontId="17" fillId="0" borderId="45" xfId="0" applyFont="1" applyBorder="1" applyAlignment="1" applyProtection="1">
      <alignment horizontal="left" vertical="center"/>
      <protection hidden="1"/>
    </xf>
    <xf numFmtId="0" fontId="17" fillId="0" borderId="12" xfId="0" applyFont="1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left" vertical="center"/>
      <protection hidden="1"/>
    </xf>
    <xf numFmtId="0" fontId="17" fillId="0" borderId="61" xfId="0" applyFont="1" applyBorder="1" applyAlignment="1" applyProtection="1">
      <alignment horizontal="left" vertical="center"/>
      <protection hidden="1"/>
    </xf>
    <xf numFmtId="0" fontId="35" fillId="6" borderId="20" xfId="0" applyFont="1" applyFill="1" applyBorder="1" applyAlignment="1" applyProtection="1">
      <alignment horizontal="left" vertical="center" wrapText="1"/>
      <protection hidden="1"/>
    </xf>
    <xf numFmtId="0" fontId="35" fillId="6" borderId="24" xfId="0" applyFont="1" applyFill="1" applyBorder="1" applyAlignment="1" applyProtection="1">
      <alignment horizontal="left" vertical="center" wrapText="1"/>
      <protection hidden="1"/>
    </xf>
    <xf numFmtId="0" fontId="35" fillId="6" borderId="34" xfId="0" applyFont="1" applyFill="1" applyBorder="1" applyAlignment="1" applyProtection="1">
      <alignment horizontal="left" vertical="center" wrapText="1"/>
      <protection hidden="1"/>
    </xf>
    <xf numFmtId="0" fontId="24" fillId="5" borderId="24" xfId="0" applyFont="1" applyFill="1" applyBorder="1" applyAlignment="1" applyProtection="1">
      <alignment horizontal="left" vertical="center" wrapText="1"/>
      <protection hidden="1"/>
    </xf>
    <xf numFmtId="0" fontId="24" fillId="5" borderId="34" xfId="0" applyFont="1" applyFill="1" applyBorder="1" applyAlignment="1" applyProtection="1">
      <alignment horizontal="left" vertical="center" wrapText="1"/>
      <protection hidden="1"/>
    </xf>
    <xf numFmtId="0" fontId="27" fillId="0" borderId="22" xfId="0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left" vertical="center" wrapText="1"/>
      <protection hidden="1"/>
    </xf>
    <xf numFmtId="0" fontId="17" fillId="3" borderId="11" xfId="0" applyFont="1" applyFill="1" applyBorder="1" applyAlignment="1" applyProtection="1">
      <alignment horizontal="left" vertical="center" wrapText="1"/>
      <protection hidden="1"/>
    </xf>
    <xf numFmtId="0" fontId="17" fillId="3" borderId="42" xfId="0" applyFont="1" applyFill="1" applyBorder="1" applyAlignment="1" applyProtection="1">
      <alignment horizontal="left" vertical="center"/>
      <protection hidden="1"/>
    </xf>
    <xf numFmtId="0" fontId="17" fillId="3" borderId="45" xfId="0" applyFont="1" applyFill="1" applyBorder="1" applyAlignment="1" applyProtection="1">
      <alignment horizontal="left" vertical="center"/>
      <protection hidden="1"/>
    </xf>
    <xf numFmtId="0" fontId="17" fillId="0" borderId="11" xfId="0" applyFont="1" applyBorder="1" applyAlignment="1" applyProtection="1">
      <alignment horizontal="left" vertical="center" wrapText="1"/>
      <protection hidden="1"/>
    </xf>
    <xf numFmtId="0" fontId="17" fillId="0" borderId="53" xfId="0" applyFont="1" applyBorder="1" applyAlignment="1" applyProtection="1">
      <alignment horizontal="left" vertical="center" wrapText="1"/>
      <protection hidden="1"/>
    </xf>
    <xf numFmtId="0" fontId="17" fillId="3" borderId="11" xfId="0" applyFont="1" applyFill="1" applyBorder="1" applyAlignment="1" applyProtection="1">
      <alignment horizontal="left" vertical="center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3" borderId="12" xfId="0" applyFont="1" applyFill="1" applyBorder="1" applyAlignment="1" applyProtection="1">
      <alignment horizontal="left" vertical="center"/>
      <protection hidden="1"/>
    </xf>
    <xf numFmtId="0" fontId="17" fillId="3" borderId="8" xfId="0" applyFont="1" applyFill="1" applyBorder="1" applyAlignment="1" applyProtection="1">
      <alignment horizontal="left" vertical="center"/>
      <protection hidden="1"/>
    </xf>
    <xf numFmtId="0" fontId="17" fillId="3" borderId="61" xfId="0" applyFont="1" applyFill="1" applyBorder="1" applyAlignment="1" applyProtection="1">
      <alignment horizontal="left" vertical="center"/>
      <protection hidden="1"/>
    </xf>
    <xf numFmtId="0" fontId="46" fillId="0" borderId="11" xfId="0" applyFont="1" applyBorder="1" applyAlignment="1" applyProtection="1">
      <alignment horizontal="left" vertical="center" wrapText="1"/>
      <protection hidden="1"/>
    </xf>
    <xf numFmtId="0" fontId="46" fillId="0" borderId="42" xfId="0" applyFont="1" applyBorder="1" applyAlignment="1" applyProtection="1">
      <alignment horizontal="left" vertical="center"/>
      <protection hidden="1"/>
    </xf>
    <xf numFmtId="0" fontId="46" fillId="0" borderId="45" xfId="0" applyFont="1" applyBorder="1" applyAlignment="1" applyProtection="1">
      <alignment horizontal="left" vertical="center"/>
      <protection hidden="1"/>
    </xf>
    <xf numFmtId="14" fontId="17" fillId="8" borderId="77" xfId="0" quotePrefix="1" applyNumberFormat="1" applyFont="1" applyFill="1" applyBorder="1" applyAlignment="1" applyProtection="1">
      <alignment horizontal="right" vertical="center" indent="1"/>
      <protection hidden="1"/>
    </xf>
    <xf numFmtId="0" fontId="17" fillId="8" borderId="78" xfId="0" applyFont="1" applyFill="1" applyBorder="1" applyAlignment="1" applyProtection="1">
      <alignment horizontal="right" vertical="center" indent="1"/>
      <protection hidden="1"/>
    </xf>
    <xf numFmtId="0" fontId="17" fillId="0" borderId="75" xfId="0" applyFont="1" applyBorder="1" applyAlignment="1" applyProtection="1">
      <alignment horizontal="right" vertical="center"/>
      <protection hidden="1"/>
    </xf>
    <xf numFmtId="0" fontId="17" fillId="0" borderId="76" xfId="0" applyFont="1" applyBorder="1" applyAlignment="1" applyProtection="1">
      <alignment horizontal="right" vertical="center"/>
      <protection hidden="1"/>
    </xf>
    <xf numFmtId="0" fontId="17" fillId="0" borderId="81" xfId="0" applyFont="1" applyBorder="1" applyAlignment="1" applyProtection="1">
      <alignment horizontal="right" vertical="center"/>
      <protection hidden="1"/>
    </xf>
    <xf numFmtId="0" fontId="17" fillId="0" borderId="82" xfId="0" applyFont="1" applyBorder="1" applyAlignment="1" applyProtection="1">
      <alignment horizontal="right" vertical="center"/>
      <protection hidden="1"/>
    </xf>
    <xf numFmtId="0" fontId="13" fillId="0" borderId="7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74" xfId="0" applyFont="1" applyBorder="1" applyAlignment="1">
      <alignment horizontal="left" vertical="center" wrapText="1"/>
    </xf>
    <xf numFmtId="0" fontId="37" fillId="0" borderId="71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3" fillId="0" borderId="0" xfId="1" applyFont="1" applyAlignment="1" applyProtection="1">
      <alignment horizontal="left" vertical="center"/>
    </xf>
    <xf numFmtId="4" fontId="17" fillId="3" borderId="85" xfId="0" applyNumberFormat="1" applyFont="1" applyFill="1" applyBorder="1" applyAlignment="1" applyProtection="1">
      <alignment horizontal="right" vertical="center" indent="1"/>
      <protection hidden="1"/>
    </xf>
    <xf numFmtId="4" fontId="17" fillId="3" borderId="86" xfId="0" applyNumberFormat="1" applyFont="1" applyFill="1" applyBorder="1" applyAlignment="1" applyProtection="1">
      <alignment horizontal="right" vertical="center" indent="1"/>
      <protection hidden="1"/>
    </xf>
    <xf numFmtId="4" fontId="17" fillId="8" borderId="84" xfId="0" applyNumberFormat="1" applyFont="1" applyFill="1" applyBorder="1" applyAlignment="1" applyProtection="1">
      <alignment horizontal="right" vertical="center" indent="1"/>
      <protection hidden="1"/>
    </xf>
    <xf numFmtId="0" fontId="17" fillId="8" borderId="84" xfId="0" applyFont="1" applyFill="1" applyBorder="1" applyAlignment="1" applyProtection="1">
      <alignment horizontal="right" vertical="center" indent="1"/>
      <protection hidden="1"/>
    </xf>
  </cellXfs>
  <cellStyles count="4">
    <cellStyle name="Hiperveza" xfId="1" builtinId="8"/>
    <cellStyle name="Normalno" xfId="0" builtinId="0"/>
    <cellStyle name="Postotak" xfId="2" builtinId="5"/>
    <cellStyle name="Zarez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381000</xdr:rowOff>
    </xdr:from>
    <xdr:to>
      <xdr:col>2</xdr:col>
      <xdr:colOff>152400</xdr:colOff>
      <xdr:row>3</xdr:row>
      <xdr:rowOff>0</xdr:rowOff>
    </xdr:to>
    <xdr:pic>
      <xdr:nvPicPr>
        <xdr:cNvPr id="3340" name="Slika 6" descr="hrvatski grb.jpg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4800"/>
          <a:ext cx="314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1</xdr:row>
      <xdr:rowOff>114300</xdr:rowOff>
    </xdr:from>
    <xdr:to>
      <xdr:col>10</xdr:col>
      <xdr:colOff>885825</xdr:colOff>
      <xdr:row>1</xdr:row>
      <xdr:rowOff>685800</xdr:rowOff>
    </xdr:to>
    <xdr:pic>
      <xdr:nvPicPr>
        <xdr:cNvPr id="4361" name="Slika 1" descr="RRiF-logo5-final-plavi-100dpi.gif">
          <a:extLst>
            <a:ext uri="{FF2B5EF4-FFF2-40B4-BE49-F238E27FC236}">
              <a16:creationId xmlns:a16="http://schemas.microsoft.com/office/drawing/2014/main" id="{00000000-0008-0000-0900-00000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9100"/>
          <a:ext cx="1752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ijava_poreza_na_dohodak_gradana_za_2010_-13123C.pdf" TargetMode="Externa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rrif.hr/Godisnja_prijava_poreza_na_dohodak_obrtnickih_i_dr-13041C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zoomScaleNormal="100" zoomScaleSheetLayoutView="100" workbookViewId="0"/>
  </sheetViews>
  <sheetFormatPr defaultColWidth="8.85546875" defaultRowHeight="15.6" customHeight="1" x14ac:dyDescent="0.25"/>
  <cols>
    <col min="1" max="1" width="4.5703125" style="5" customWidth="1"/>
    <col min="2" max="3" width="2.42578125" style="5" customWidth="1"/>
    <col min="4" max="4" width="11.7109375" style="5" customWidth="1"/>
    <col min="5" max="5" width="2.7109375" style="5" customWidth="1"/>
    <col min="6" max="6" width="5.28515625" style="5" customWidth="1"/>
    <col min="7" max="7" width="6.7109375" style="5" customWidth="1"/>
    <col min="8" max="8" width="5.42578125" style="5" customWidth="1"/>
    <col min="9" max="9" width="7.85546875" style="5" customWidth="1"/>
    <col min="10" max="10" width="2.7109375" style="5" customWidth="1"/>
    <col min="11" max="11" width="4.7109375" style="5" customWidth="1"/>
    <col min="12" max="12" width="6.28515625" style="5" customWidth="1"/>
    <col min="13" max="13" width="4.7109375" style="5" customWidth="1"/>
    <col min="14" max="14" width="3.42578125" style="5" customWidth="1"/>
    <col min="15" max="15" width="7.7109375" style="5" customWidth="1"/>
    <col min="16" max="16" width="4.140625" style="5" customWidth="1"/>
    <col min="17" max="17" width="3.140625" style="5" customWidth="1"/>
    <col min="18" max="18" width="7.7109375" style="5" customWidth="1"/>
    <col min="19" max="19" width="9.42578125" style="5" customWidth="1"/>
    <col min="20" max="20" width="4.42578125" style="5" customWidth="1"/>
    <col min="21" max="16384" width="8.85546875" style="5"/>
  </cols>
  <sheetData>
    <row r="1" spans="1:20" ht="24" customHeight="1" x14ac:dyDescent="0.25"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20" ht="15.6" customHeight="1" x14ac:dyDescent="0.25">
      <c r="D2" s="6" t="s">
        <v>11</v>
      </c>
      <c r="R2" s="311" t="s">
        <v>73</v>
      </c>
      <c r="S2" s="312"/>
    </row>
    <row r="3" spans="1:20" ht="15.6" customHeight="1" x14ac:dyDescent="0.25">
      <c r="D3" s="6" t="s">
        <v>12</v>
      </c>
      <c r="R3" s="228"/>
      <c r="S3" s="228"/>
    </row>
    <row r="4" spans="1:20" ht="6" customHeight="1" x14ac:dyDescent="0.25"/>
    <row r="5" spans="1:20" ht="15.6" customHeight="1" x14ac:dyDescent="0.25">
      <c r="D5" s="6" t="s">
        <v>403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</row>
    <row r="6" spans="1:20" ht="15.6" customHeight="1" x14ac:dyDescent="0.25">
      <c r="D6" s="6" t="s">
        <v>404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</row>
    <row r="7" spans="1:20" ht="6" customHeight="1" x14ac:dyDescent="0.25"/>
    <row r="8" spans="1:20" ht="24.6" customHeight="1" x14ac:dyDescent="0.25">
      <c r="D8" s="7" t="str">
        <f>"PRIJAVA POREZA NA DOHODAK ZA "&amp;ZaGodinu&amp;". GODINU"</f>
        <v>PRIJAVA POREZA NA DOHODAK ZA 2023. GODINU</v>
      </c>
    </row>
    <row r="9" spans="1:20" ht="6" customHeight="1" x14ac:dyDescent="0.25"/>
    <row r="10" spans="1:20" ht="21.6" customHeight="1" x14ac:dyDescent="0.25">
      <c r="B10" s="276" t="s">
        <v>19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8"/>
    </row>
    <row r="11" spans="1:20" s="4" customFormat="1" ht="16.149999999999999" customHeight="1" x14ac:dyDescent="0.25">
      <c r="A11" s="5"/>
      <c r="B11" s="270" t="s">
        <v>59</v>
      </c>
      <c r="C11" s="271"/>
      <c r="D11" s="271"/>
      <c r="E11" s="271"/>
      <c r="F11" s="271"/>
      <c r="G11" s="271"/>
      <c r="H11" s="272"/>
      <c r="I11" s="279"/>
      <c r="J11" s="280"/>
      <c r="K11" s="280"/>
      <c r="L11" s="280"/>
      <c r="M11" s="280"/>
      <c r="N11" s="280"/>
      <c r="O11" s="280"/>
      <c r="P11" s="280"/>
      <c r="Q11" s="280"/>
      <c r="R11" s="280"/>
      <c r="S11" s="281"/>
      <c r="T11" s="5"/>
    </row>
    <row r="12" spans="1:20" s="4" customFormat="1" ht="16.149999999999999" customHeight="1" x14ac:dyDescent="0.25">
      <c r="A12" s="5"/>
      <c r="B12" s="273" t="s">
        <v>58</v>
      </c>
      <c r="C12" s="274"/>
      <c r="D12" s="274"/>
      <c r="E12" s="274"/>
      <c r="F12" s="274"/>
      <c r="G12" s="274"/>
      <c r="H12" s="275"/>
      <c r="I12" s="282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5"/>
    </row>
    <row r="13" spans="1:20" s="4" customFormat="1" ht="16.149999999999999" customHeight="1" x14ac:dyDescent="0.25">
      <c r="A13" s="5"/>
      <c r="B13" s="129"/>
      <c r="C13" s="130" t="s">
        <v>465</v>
      </c>
      <c r="D13" s="130"/>
      <c r="E13" s="130"/>
      <c r="F13" s="130"/>
      <c r="G13" s="130"/>
      <c r="H13" s="131"/>
      <c r="I13" s="223"/>
      <c r="J13" s="224"/>
      <c r="K13" s="224"/>
      <c r="L13" s="224"/>
      <c r="M13" s="224"/>
      <c r="N13" s="224"/>
      <c r="O13" s="224"/>
      <c r="P13" s="224"/>
      <c r="Q13" s="224"/>
      <c r="R13" s="224"/>
      <c r="S13" s="225"/>
      <c r="T13" s="5"/>
    </row>
    <row r="14" spans="1:20" s="4" customFormat="1" ht="16.149999999999999" customHeight="1" x14ac:dyDescent="0.25">
      <c r="A14" s="5"/>
      <c r="B14" s="129"/>
      <c r="C14" s="130" t="s">
        <v>466</v>
      </c>
      <c r="D14" s="130"/>
      <c r="E14" s="130"/>
      <c r="F14" s="130"/>
      <c r="G14" s="130"/>
      <c r="H14" s="131"/>
      <c r="I14" s="223"/>
      <c r="J14" s="224"/>
      <c r="K14" s="224"/>
      <c r="L14" s="224"/>
      <c r="M14" s="224"/>
      <c r="N14" s="224"/>
      <c r="O14" s="224"/>
      <c r="P14" s="224"/>
      <c r="Q14" s="224"/>
      <c r="R14" s="224"/>
      <c r="S14" s="225"/>
      <c r="T14" s="5"/>
    </row>
    <row r="15" spans="1:20" s="4" customFormat="1" ht="16.149999999999999" customHeight="1" x14ac:dyDescent="0.25">
      <c r="A15" s="5"/>
      <c r="B15" s="273" t="s">
        <v>61</v>
      </c>
      <c r="C15" s="274"/>
      <c r="D15" s="274"/>
      <c r="E15" s="274"/>
      <c r="F15" s="274"/>
      <c r="G15" s="274"/>
      <c r="H15" s="275"/>
      <c r="I15" s="223"/>
      <c r="J15" s="224"/>
      <c r="K15" s="224"/>
      <c r="L15" s="224"/>
      <c r="M15" s="224"/>
      <c r="N15" s="224"/>
      <c r="O15" s="224"/>
      <c r="P15" s="224"/>
      <c r="Q15" s="224"/>
      <c r="R15" s="224"/>
      <c r="S15" s="225"/>
      <c r="T15" s="5"/>
    </row>
    <row r="16" spans="1:20" s="4" customFormat="1" ht="16.149999999999999" customHeight="1" x14ac:dyDescent="0.25">
      <c r="A16" s="5"/>
      <c r="B16" s="231" t="s">
        <v>478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29" t="s">
        <v>64</v>
      </c>
      <c r="Q16" s="229"/>
      <c r="R16" s="229"/>
      <c r="S16" s="230"/>
      <c r="T16" s="5"/>
    </row>
    <row r="17" spans="1:20" s="4" customFormat="1" ht="16.149999999999999" customHeight="1" x14ac:dyDescent="0.25">
      <c r="A17" s="5"/>
      <c r="B17" s="290" t="s">
        <v>463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2"/>
      <c r="T17" s="5"/>
    </row>
    <row r="18" spans="1:20" s="24" customFormat="1" ht="10.15" customHeight="1" x14ac:dyDescent="0.25">
      <c r="A18" s="5"/>
      <c r="B18" s="310" t="s">
        <v>0</v>
      </c>
      <c r="C18" s="293" t="s">
        <v>14</v>
      </c>
      <c r="D18" s="294"/>
      <c r="E18" s="294"/>
      <c r="F18" s="294"/>
      <c r="G18" s="295"/>
      <c r="H18" s="293" t="s">
        <v>63</v>
      </c>
      <c r="I18" s="294"/>
      <c r="J18" s="295"/>
      <c r="K18" s="293" t="s">
        <v>72</v>
      </c>
      <c r="L18" s="294"/>
      <c r="M18" s="295"/>
      <c r="N18" s="293" t="s">
        <v>74</v>
      </c>
      <c r="O18" s="294"/>
      <c r="P18" s="294"/>
      <c r="Q18" s="294"/>
      <c r="R18" s="295"/>
      <c r="S18" s="74" t="s">
        <v>430</v>
      </c>
      <c r="T18" s="5"/>
    </row>
    <row r="19" spans="1:20" s="4" customFormat="1" ht="10.15" customHeight="1" x14ac:dyDescent="0.25">
      <c r="A19" s="5"/>
      <c r="B19" s="305"/>
      <c r="C19" s="266"/>
      <c r="D19" s="267"/>
      <c r="E19" s="267"/>
      <c r="F19" s="267"/>
      <c r="G19" s="268"/>
      <c r="H19" s="266"/>
      <c r="I19" s="267"/>
      <c r="J19" s="268"/>
      <c r="K19" s="266"/>
      <c r="L19" s="267"/>
      <c r="M19" s="268"/>
      <c r="N19" s="266"/>
      <c r="O19" s="267"/>
      <c r="P19" s="267"/>
      <c r="Q19" s="267"/>
      <c r="R19" s="268"/>
      <c r="S19" s="20" t="s">
        <v>479</v>
      </c>
      <c r="T19" s="5"/>
    </row>
    <row r="20" spans="1:20" s="24" customFormat="1" ht="16.149999999999999" customHeight="1" x14ac:dyDescent="0.25">
      <c r="A20" s="5"/>
      <c r="B20" s="2" t="s">
        <v>1</v>
      </c>
      <c r="C20" s="106" t="s">
        <v>10</v>
      </c>
      <c r="D20" s="104"/>
      <c r="E20" s="107" t="s">
        <v>13</v>
      </c>
      <c r="F20" s="287"/>
      <c r="G20" s="288"/>
      <c r="H20" s="233"/>
      <c r="I20" s="234"/>
      <c r="J20" s="235"/>
      <c r="K20" s="233"/>
      <c r="L20" s="234"/>
      <c r="M20" s="235"/>
      <c r="N20" s="285"/>
      <c r="O20" s="286"/>
      <c r="P20" s="286"/>
      <c r="Q20" s="286"/>
      <c r="R20" s="286"/>
      <c r="S20" s="78"/>
      <c r="T20" s="5"/>
    </row>
    <row r="21" spans="1:20" s="24" customFormat="1" ht="16.149999999999999" customHeight="1" x14ac:dyDescent="0.25">
      <c r="A21" s="5"/>
      <c r="B21" s="2" t="s">
        <v>2</v>
      </c>
      <c r="C21" s="106" t="s">
        <v>10</v>
      </c>
      <c r="D21" s="104"/>
      <c r="E21" s="107" t="s">
        <v>13</v>
      </c>
      <c r="F21" s="287"/>
      <c r="G21" s="288"/>
      <c r="H21" s="233"/>
      <c r="I21" s="234"/>
      <c r="J21" s="235"/>
      <c r="K21" s="233"/>
      <c r="L21" s="234"/>
      <c r="M21" s="235"/>
      <c r="N21" s="285"/>
      <c r="O21" s="286"/>
      <c r="P21" s="286"/>
      <c r="Q21" s="286"/>
      <c r="R21" s="286"/>
      <c r="S21" s="78"/>
      <c r="T21" s="5"/>
    </row>
    <row r="22" spans="1:20" s="24" customFormat="1" ht="16.149999999999999" customHeight="1" x14ac:dyDescent="0.25">
      <c r="A22" s="5"/>
      <c r="B22" s="8" t="s">
        <v>3</v>
      </c>
      <c r="C22" s="9" t="s">
        <v>10</v>
      </c>
      <c r="D22" s="105"/>
      <c r="E22" s="10" t="s">
        <v>13</v>
      </c>
      <c r="F22" s="319"/>
      <c r="G22" s="320"/>
      <c r="H22" s="239"/>
      <c r="I22" s="240"/>
      <c r="J22" s="309"/>
      <c r="K22" s="239"/>
      <c r="L22" s="240"/>
      <c r="M22" s="309"/>
      <c r="N22" s="239"/>
      <c r="O22" s="240"/>
      <c r="P22" s="240"/>
      <c r="Q22" s="240"/>
      <c r="R22" s="240"/>
      <c r="S22" s="79"/>
      <c r="T22" s="5"/>
    </row>
    <row r="23" spans="1:20" s="4" customFormat="1" ht="16.149999999999999" customHeight="1" x14ac:dyDescent="0.25">
      <c r="A23" s="5"/>
      <c r="B23" s="316" t="s">
        <v>464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8"/>
      <c r="T23" s="5"/>
    </row>
    <row r="24" spans="1:20" s="24" customFormat="1" ht="10.15" customHeight="1" x14ac:dyDescent="0.25">
      <c r="A24" s="5"/>
      <c r="B24" s="310" t="s">
        <v>0</v>
      </c>
      <c r="C24" s="293" t="s">
        <v>15</v>
      </c>
      <c r="D24" s="294"/>
      <c r="E24" s="294"/>
      <c r="F24" s="294"/>
      <c r="G24" s="295"/>
      <c r="H24" s="293" t="s">
        <v>65</v>
      </c>
      <c r="I24" s="294"/>
      <c r="J24" s="295"/>
      <c r="K24" s="293" t="s">
        <v>480</v>
      </c>
      <c r="L24" s="294"/>
      <c r="M24" s="294"/>
      <c r="N24" s="294"/>
      <c r="O24" s="294"/>
      <c r="P24" s="295"/>
      <c r="Q24" s="293" t="s">
        <v>66</v>
      </c>
      <c r="R24" s="294"/>
      <c r="S24" s="315"/>
      <c r="T24" s="5"/>
    </row>
    <row r="25" spans="1:20" s="24" customFormat="1" ht="10.15" customHeight="1" x14ac:dyDescent="0.25">
      <c r="A25" s="5"/>
      <c r="B25" s="305"/>
      <c r="C25" s="266"/>
      <c r="D25" s="267"/>
      <c r="E25" s="267"/>
      <c r="F25" s="267"/>
      <c r="G25" s="268"/>
      <c r="H25" s="266"/>
      <c r="I25" s="267"/>
      <c r="J25" s="268"/>
      <c r="K25" s="266"/>
      <c r="L25" s="267"/>
      <c r="M25" s="267"/>
      <c r="N25" s="267"/>
      <c r="O25" s="267"/>
      <c r="P25" s="268"/>
      <c r="Q25" s="266" t="s">
        <v>67</v>
      </c>
      <c r="R25" s="267"/>
      <c r="S25" s="314"/>
      <c r="T25" s="5"/>
    </row>
    <row r="26" spans="1:20" s="24" customFormat="1" ht="16.149999999999999" customHeight="1" x14ac:dyDescent="0.25">
      <c r="A26" s="5"/>
      <c r="B26" s="2" t="s">
        <v>1</v>
      </c>
      <c r="C26" s="106" t="s">
        <v>10</v>
      </c>
      <c r="D26" s="104"/>
      <c r="E26" s="107" t="s">
        <v>13</v>
      </c>
      <c r="F26" s="287"/>
      <c r="G26" s="288"/>
      <c r="H26" s="289"/>
      <c r="I26" s="287"/>
      <c r="J26" s="288"/>
      <c r="K26" s="249" t="s">
        <v>405</v>
      </c>
      <c r="L26" s="250"/>
      <c r="M26" s="250"/>
      <c r="N26" s="250"/>
      <c r="O26" s="250"/>
      <c r="P26" s="251"/>
      <c r="Q26" s="252"/>
      <c r="R26" s="253"/>
      <c r="S26" s="254"/>
      <c r="T26" s="5"/>
    </row>
    <row r="27" spans="1:20" s="24" customFormat="1" ht="16.149999999999999" customHeight="1" x14ac:dyDescent="0.25">
      <c r="A27" s="5"/>
      <c r="B27" s="2" t="s">
        <v>2</v>
      </c>
      <c r="C27" s="106" t="s">
        <v>10</v>
      </c>
      <c r="D27" s="104"/>
      <c r="E27" s="107" t="s">
        <v>13</v>
      </c>
      <c r="F27" s="287"/>
      <c r="G27" s="288"/>
      <c r="H27" s="289"/>
      <c r="I27" s="287"/>
      <c r="J27" s="288"/>
      <c r="K27" s="249" t="s">
        <v>405</v>
      </c>
      <c r="L27" s="250"/>
      <c r="M27" s="250"/>
      <c r="N27" s="250"/>
      <c r="O27" s="250"/>
      <c r="P27" s="251"/>
      <c r="Q27" s="252"/>
      <c r="R27" s="253"/>
      <c r="S27" s="254"/>
      <c r="T27" s="5"/>
    </row>
    <row r="28" spans="1:20" s="4" customFormat="1" ht="16.149999999999999" customHeight="1" x14ac:dyDescent="0.25">
      <c r="A28" s="5"/>
      <c r="B28" s="273" t="s">
        <v>467</v>
      </c>
      <c r="C28" s="274"/>
      <c r="D28" s="274"/>
      <c r="E28" s="274"/>
      <c r="F28" s="274"/>
      <c r="G28" s="275"/>
      <c r="H28" s="282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4"/>
      <c r="T28" s="5"/>
    </row>
    <row r="29" spans="1:20" s="24" customFormat="1" ht="16.149999999999999" customHeight="1" x14ac:dyDescent="0.25">
      <c r="A29" s="5"/>
      <c r="B29" s="11"/>
      <c r="C29" s="260" t="s">
        <v>62</v>
      </c>
      <c r="D29" s="260"/>
      <c r="E29" s="260"/>
      <c r="F29" s="260"/>
      <c r="G29" s="261"/>
      <c r="H29" s="239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1"/>
      <c r="T29" s="5"/>
    </row>
    <row r="30" spans="1:20" s="4" customFormat="1" ht="16.149999999999999" customHeight="1" x14ac:dyDescent="0.25">
      <c r="A30" s="5"/>
      <c r="B30" s="316" t="s">
        <v>468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8"/>
      <c r="T30" s="5"/>
    </row>
    <row r="31" spans="1:20" s="24" customFormat="1" ht="16.149999999999999" customHeight="1" x14ac:dyDescent="0.25">
      <c r="A31" s="5"/>
      <c r="B31" s="12"/>
      <c r="C31" s="258" t="s">
        <v>469</v>
      </c>
      <c r="D31" s="258"/>
      <c r="E31" s="258"/>
      <c r="F31" s="258"/>
      <c r="G31" s="258"/>
      <c r="H31" s="258"/>
      <c r="I31" s="259"/>
      <c r="J31" s="321"/>
      <c r="K31" s="322"/>
      <c r="L31" s="322"/>
      <c r="M31" s="322"/>
      <c r="N31" s="322"/>
      <c r="O31" s="322"/>
      <c r="P31" s="322"/>
      <c r="Q31" s="322"/>
      <c r="R31" s="322"/>
      <c r="S31" s="323"/>
      <c r="T31" s="5"/>
    </row>
    <row r="32" spans="1:20" s="24" customFormat="1" ht="16.149999999999999" customHeight="1" x14ac:dyDescent="0.25">
      <c r="A32" s="5"/>
      <c r="B32" s="13"/>
      <c r="C32" s="247" t="s">
        <v>470</v>
      </c>
      <c r="D32" s="247"/>
      <c r="E32" s="247"/>
      <c r="F32" s="247"/>
      <c r="G32" s="247"/>
      <c r="H32" s="247"/>
      <c r="I32" s="248"/>
      <c r="J32" s="233"/>
      <c r="K32" s="234"/>
      <c r="L32" s="234"/>
      <c r="M32" s="234"/>
      <c r="N32" s="234"/>
      <c r="O32" s="234"/>
      <c r="P32" s="234"/>
      <c r="Q32" s="234"/>
      <c r="R32" s="234"/>
      <c r="S32" s="238"/>
      <c r="T32" s="5"/>
    </row>
    <row r="33" spans="1:20" s="24" customFormat="1" ht="16.149999999999999" customHeight="1" x14ac:dyDescent="0.25">
      <c r="A33" s="5"/>
      <c r="B33" s="14"/>
      <c r="C33" s="260" t="s">
        <v>471</v>
      </c>
      <c r="D33" s="260"/>
      <c r="E33" s="260"/>
      <c r="F33" s="260"/>
      <c r="G33" s="260"/>
      <c r="H33" s="260"/>
      <c r="I33" s="261"/>
      <c r="J33" s="239"/>
      <c r="K33" s="240"/>
      <c r="L33" s="240"/>
      <c r="M33" s="240"/>
      <c r="N33" s="240"/>
      <c r="O33" s="240"/>
      <c r="P33" s="240"/>
      <c r="Q33" s="240"/>
      <c r="R33" s="240"/>
      <c r="S33" s="241"/>
      <c r="T33" s="5"/>
    </row>
    <row r="34" spans="1:20" ht="6" customHeight="1" x14ac:dyDescent="0.25"/>
    <row r="35" spans="1:20" ht="21.6" customHeight="1" x14ac:dyDescent="0.25">
      <c r="B35" s="244" t="s">
        <v>69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6"/>
    </row>
    <row r="36" spans="1:20" s="24" customFormat="1" ht="9" customHeight="1" x14ac:dyDescent="0.25">
      <c r="A36" s="5"/>
      <c r="B36" s="303" t="s">
        <v>0</v>
      </c>
      <c r="C36" s="306" t="s">
        <v>60</v>
      </c>
      <c r="D36" s="307"/>
      <c r="E36" s="307"/>
      <c r="F36" s="307"/>
      <c r="G36" s="307"/>
      <c r="H36" s="308"/>
      <c r="I36" s="242" t="s">
        <v>68</v>
      </c>
      <c r="J36" s="243"/>
      <c r="K36" s="243"/>
      <c r="L36" s="15" t="s">
        <v>432</v>
      </c>
      <c r="M36" s="329" t="s">
        <v>71</v>
      </c>
      <c r="N36" s="327" t="s">
        <v>75</v>
      </c>
      <c r="O36" s="328"/>
      <c r="P36" s="262" t="s">
        <v>76</v>
      </c>
      <c r="Q36" s="263"/>
      <c r="R36" s="263"/>
      <c r="S36" s="264"/>
      <c r="T36" s="5"/>
    </row>
    <row r="37" spans="1:20" ht="7.9" customHeight="1" x14ac:dyDescent="0.25">
      <c r="B37" s="304"/>
      <c r="C37" s="242"/>
      <c r="D37" s="243"/>
      <c r="E37" s="243"/>
      <c r="F37" s="243"/>
      <c r="G37" s="243"/>
      <c r="H37" s="265"/>
      <c r="I37" s="242"/>
      <c r="J37" s="243"/>
      <c r="K37" s="243"/>
      <c r="L37" s="16" t="s">
        <v>434</v>
      </c>
      <c r="M37" s="330"/>
      <c r="N37" s="327"/>
      <c r="O37" s="328"/>
      <c r="P37" s="242" t="s">
        <v>68</v>
      </c>
      <c r="Q37" s="243"/>
      <c r="R37" s="265"/>
      <c r="S37" s="17" t="s">
        <v>77</v>
      </c>
    </row>
    <row r="38" spans="1:20" ht="7.9" customHeight="1" x14ac:dyDescent="0.25">
      <c r="B38" s="304"/>
      <c r="C38" s="242"/>
      <c r="D38" s="243"/>
      <c r="E38" s="243"/>
      <c r="F38" s="243"/>
      <c r="G38" s="243"/>
      <c r="H38" s="265"/>
      <c r="I38" s="242"/>
      <c r="J38" s="243"/>
      <c r="K38" s="243"/>
      <c r="L38" s="16" t="s">
        <v>433</v>
      </c>
      <c r="M38" s="330"/>
      <c r="N38" s="327"/>
      <c r="O38" s="328"/>
      <c r="P38" s="242"/>
      <c r="Q38" s="243"/>
      <c r="R38" s="265"/>
      <c r="S38" s="18" t="s">
        <v>78</v>
      </c>
    </row>
    <row r="39" spans="1:20" s="24" customFormat="1" ht="7.9" customHeight="1" x14ac:dyDescent="0.25">
      <c r="A39" s="5"/>
      <c r="B39" s="305"/>
      <c r="C39" s="266"/>
      <c r="D39" s="267"/>
      <c r="E39" s="267"/>
      <c r="F39" s="267"/>
      <c r="G39" s="267"/>
      <c r="H39" s="268"/>
      <c r="I39" s="242"/>
      <c r="J39" s="243"/>
      <c r="K39" s="243"/>
      <c r="L39" s="19" t="s">
        <v>431</v>
      </c>
      <c r="M39" s="331"/>
      <c r="N39" s="327"/>
      <c r="O39" s="328"/>
      <c r="P39" s="266"/>
      <c r="Q39" s="267"/>
      <c r="R39" s="268"/>
      <c r="S39" s="20" t="s">
        <v>79</v>
      </c>
      <c r="T39" s="5"/>
    </row>
    <row r="40" spans="1:20" s="24" customFormat="1" ht="20.45" customHeight="1" x14ac:dyDescent="0.25">
      <c r="A40" s="5"/>
      <c r="B40" s="2" t="s">
        <v>1</v>
      </c>
      <c r="C40" s="233"/>
      <c r="D40" s="234"/>
      <c r="E40" s="234"/>
      <c r="F40" s="234"/>
      <c r="G40" s="234"/>
      <c r="H40" s="235"/>
      <c r="I40" s="289"/>
      <c r="J40" s="287"/>
      <c r="K40" s="288"/>
      <c r="L40" s="80"/>
      <c r="M40" s="80"/>
      <c r="N40" s="236"/>
      <c r="O40" s="237"/>
      <c r="P40" s="289"/>
      <c r="Q40" s="287"/>
      <c r="R40" s="288"/>
      <c r="S40" s="81"/>
      <c r="T40" s="5"/>
    </row>
    <row r="41" spans="1:20" s="24" customFormat="1" ht="20.45" customHeight="1" x14ac:dyDescent="0.25">
      <c r="A41" s="5"/>
      <c r="B41" s="2" t="s">
        <v>2</v>
      </c>
      <c r="C41" s="233"/>
      <c r="D41" s="234"/>
      <c r="E41" s="234"/>
      <c r="F41" s="234"/>
      <c r="G41" s="234"/>
      <c r="H41" s="235"/>
      <c r="I41" s="289"/>
      <c r="J41" s="287"/>
      <c r="K41" s="288"/>
      <c r="L41" s="80"/>
      <c r="M41" s="80"/>
      <c r="N41" s="236"/>
      <c r="O41" s="237"/>
      <c r="P41" s="289"/>
      <c r="Q41" s="287"/>
      <c r="R41" s="288"/>
      <c r="S41" s="81"/>
      <c r="T41" s="5"/>
    </row>
    <row r="42" spans="1:20" s="24" customFormat="1" ht="20.45" customHeight="1" x14ac:dyDescent="0.25">
      <c r="A42" s="5"/>
      <c r="B42" s="2" t="s">
        <v>3</v>
      </c>
      <c r="C42" s="233"/>
      <c r="D42" s="234"/>
      <c r="E42" s="234"/>
      <c r="F42" s="234"/>
      <c r="G42" s="234"/>
      <c r="H42" s="235"/>
      <c r="I42" s="289"/>
      <c r="J42" s="287"/>
      <c r="K42" s="288"/>
      <c r="L42" s="80"/>
      <c r="M42" s="80"/>
      <c r="N42" s="236"/>
      <c r="O42" s="237"/>
      <c r="P42" s="289"/>
      <c r="Q42" s="287"/>
      <c r="R42" s="288"/>
      <c r="S42" s="81"/>
      <c r="T42" s="5"/>
    </row>
    <row r="43" spans="1:20" s="24" customFormat="1" ht="20.45" customHeight="1" x14ac:dyDescent="0.25">
      <c r="A43" s="5"/>
      <c r="B43" s="2" t="s">
        <v>4</v>
      </c>
      <c r="C43" s="233"/>
      <c r="D43" s="234"/>
      <c r="E43" s="234"/>
      <c r="F43" s="234"/>
      <c r="G43" s="234"/>
      <c r="H43" s="235"/>
      <c r="I43" s="289"/>
      <c r="J43" s="287"/>
      <c r="K43" s="288"/>
      <c r="L43" s="80"/>
      <c r="M43" s="80"/>
      <c r="N43" s="236"/>
      <c r="O43" s="237"/>
      <c r="P43" s="289"/>
      <c r="Q43" s="287"/>
      <c r="R43" s="288"/>
      <c r="S43" s="81"/>
      <c r="T43" s="5"/>
    </row>
    <row r="44" spans="1:20" s="24" customFormat="1" ht="20.45" customHeight="1" x14ac:dyDescent="0.25">
      <c r="A44" s="5"/>
      <c r="B44" s="2" t="s">
        <v>5</v>
      </c>
      <c r="C44" s="233"/>
      <c r="D44" s="234"/>
      <c r="E44" s="234"/>
      <c r="F44" s="234"/>
      <c r="G44" s="234"/>
      <c r="H44" s="235"/>
      <c r="I44" s="289"/>
      <c r="J44" s="287"/>
      <c r="K44" s="288"/>
      <c r="L44" s="80"/>
      <c r="M44" s="80"/>
      <c r="N44" s="236"/>
      <c r="O44" s="237"/>
      <c r="P44" s="289"/>
      <c r="Q44" s="287"/>
      <c r="R44" s="288"/>
      <c r="S44" s="81"/>
      <c r="T44" s="5"/>
    </row>
    <row r="45" spans="1:20" s="24" customFormat="1" ht="20.45" customHeight="1" x14ac:dyDescent="0.25">
      <c r="A45" s="5"/>
      <c r="B45" s="2" t="s">
        <v>6</v>
      </c>
      <c r="C45" s="233"/>
      <c r="D45" s="234"/>
      <c r="E45" s="234"/>
      <c r="F45" s="234"/>
      <c r="G45" s="234"/>
      <c r="H45" s="235"/>
      <c r="I45" s="289"/>
      <c r="J45" s="287"/>
      <c r="K45" s="288"/>
      <c r="L45" s="80"/>
      <c r="M45" s="80"/>
      <c r="N45" s="236"/>
      <c r="O45" s="237"/>
      <c r="P45" s="289"/>
      <c r="Q45" s="287"/>
      <c r="R45" s="288"/>
      <c r="S45" s="81"/>
      <c r="T45" s="5"/>
    </row>
    <row r="46" spans="1:20" s="24" customFormat="1" ht="20.45" customHeight="1" x14ac:dyDescent="0.25">
      <c r="A46" s="5"/>
      <c r="B46" s="2" t="s">
        <v>7</v>
      </c>
      <c r="C46" s="233"/>
      <c r="D46" s="234"/>
      <c r="E46" s="234"/>
      <c r="F46" s="234"/>
      <c r="G46" s="234"/>
      <c r="H46" s="235"/>
      <c r="I46" s="289"/>
      <c r="J46" s="287"/>
      <c r="K46" s="288"/>
      <c r="L46" s="80"/>
      <c r="M46" s="80"/>
      <c r="N46" s="236"/>
      <c r="O46" s="237"/>
      <c r="P46" s="289"/>
      <c r="Q46" s="287"/>
      <c r="R46" s="288"/>
      <c r="S46" s="81"/>
      <c r="T46" s="5"/>
    </row>
    <row r="47" spans="1:20" s="24" customFormat="1" ht="20.45" customHeight="1" x14ac:dyDescent="0.25">
      <c r="A47" s="5"/>
      <c r="B47" s="8" t="s">
        <v>8</v>
      </c>
      <c r="C47" s="239"/>
      <c r="D47" s="240"/>
      <c r="E47" s="240"/>
      <c r="F47" s="240"/>
      <c r="G47" s="240"/>
      <c r="H47" s="309"/>
      <c r="I47" s="324"/>
      <c r="J47" s="319"/>
      <c r="K47" s="320"/>
      <c r="L47" s="82"/>
      <c r="M47" s="83"/>
      <c r="N47" s="325"/>
      <c r="O47" s="326"/>
      <c r="P47" s="324"/>
      <c r="Q47" s="319"/>
      <c r="R47" s="320"/>
      <c r="S47" s="84"/>
      <c r="T47" s="5"/>
    </row>
    <row r="48" spans="1:20" ht="6" customHeight="1" x14ac:dyDescent="0.25">
      <c r="L48" s="73"/>
    </row>
    <row r="49" spans="1:20" ht="21.6" customHeight="1" x14ac:dyDescent="0.25">
      <c r="B49" s="276" t="s">
        <v>70</v>
      </c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8"/>
    </row>
    <row r="50" spans="1:20" s="24" customFormat="1" ht="16.149999999999999" customHeight="1" x14ac:dyDescent="0.25">
      <c r="A50" s="5"/>
      <c r="B50" s="21"/>
      <c r="C50" s="299" t="s">
        <v>9</v>
      </c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300"/>
      <c r="P50" s="332"/>
      <c r="Q50" s="333"/>
      <c r="R50" s="333"/>
      <c r="S50" s="334"/>
      <c r="T50" s="5"/>
    </row>
    <row r="51" spans="1:20" s="24" customFormat="1" ht="16.149999999999999" customHeight="1" x14ac:dyDescent="0.25">
      <c r="A51" s="5"/>
      <c r="B51" s="22"/>
      <c r="C51" s="301" t="s">
        <v>418</v>
      </c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2"/>
      <c r="P51" s="255"/>
      <c r="Q51" s="256"/>
      <c r="R51" s="256"/>
      <c r="S51" s="257"/>
      <c r="T51" s="5"/>
    </row>
    <row r="52" spans="1:20" s="24" customFormat="1" ht="19.149999999999999" customHeight="1" x14ac:dyDescent="0.25">
      <c r="A52" s="5"/>
      <c r="B52" s="23"/>
      <c r="C52" s="61" t="s">
        <v>419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296" t="str">
        <f>IF(P50&amp;P51="","",N(P50)+N(P51))</f>
        <v/>
      </c>
      <c r="Q52" s="297"/>
      <c r="R52" s="297"/>
      <c r="S52" s="298"/>
      <c r="T52" s="5"/>
    </row>
    <row r="53" spans="1:20" ht="6" customHeight="1" x14ac:dyDescent="0.25"/>
    <row r="54" spans="1:20" ht="21.75" customHeight="1" x14ac:dyDescent="0.25">
      <c r="B54" s="226" t="s">
        <v>481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</row>
    <row r="55" spans="1:20" ht="10.5" customHeight="1" x14ac:dyDescent="0.25">
      <c r="B55" s="226" t="s">
        <v>483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</row>
    <row r="56" spans="1:20" ht="10.5" customHeight="1" x14ac:dyDescent="0.25">
      <c r="B56" s="227" t="s">
        <v>482</v>
      </c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</row>
    <row r="57" spans="1:20" ht="24" customHeight="1" x14ac:dyDescent="0.25"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</row>
  </sheetData>
  <sheetProtection algorithmName="SHA-512" hashValue="ZTrU41smnM96lnOy+NpFJbjqsJVxrMERjS2wxlEq+wWnfXD+TXq+nQrGu8BvA81/8lWgBmwV4xkX6BGk1FdXAQ==" saltValue="lv1Wlovarl4XjOIfunkrFA==" spinCount="100000" sheet="1" objects="1" scenarios="1"/>
  <protectedRanges>
    <protectedRange sqref="G5:S6 I11:S15 D20:D22 F20:S22 D26:D27 F26:F27 H26:J27 Q26:S27 H28:S29 J31:S33 C40:S47 P50:S51" name="Raspon1"/>
  </protectedRanges>
  <mergeCells count="110">
    <mergeCell ref="N36:O39"/>
    <mergeCell ref="B55:S55"/>
    <mergeCell ref="C43:H43"/>
    <mergeCell ref="M36:M39"/>
    <mergeCell ref="I42:K42"/>
    <mergeCell ref="I43:K43"/>
    <mergeCell ref="N41:O41"/>
    <mergeCell ref="N42:O42"/>
    <mergeCell ref="N43:O43"/>
    <mergeCell ref="I40:K40"/>
    <mergeCell ref="P50:S50"/>
    <mergeCell ref="B49:S49"/>
    <mergeCell ref="N45:O45"/>
    <mergeCell ref="C45:H45"/>
    <mergeCell ref="F26:G26"/>
    <mergeCell ref="N44:O44"/>
    <mergeCell ref="B30:S30"/>
    <mergeCell ref="J31:S31"/>
    <mergeCell ref="I47:K47"/>
    <mergeCell ref="I41:K41"/>
    <mergeCell ref="C40:H40"/>
    <mergeCell ref="C41:H41"/>
    <mergeCell ref="I44:K44"/>
    <mergeCell ref="N47:O47"/>
    <mergeCell ref="P41:R41"/>
    <mergeCell ref="Q27:S27"/>
    <mergeCell ref="C46:H46"/>
    <mergeCell ref="C47:H47"/>
    <mergeCell ref="I45:K45"/>
    <mergeCell ref="I46:K46"/>
    <mergeCell ref="C42:H42"/>
    <mergeCell ref="N46:O46"/>
    <mergeCell ref="P42:R42"/>
    <mergeCell ref="P43:R43"/>
    <mergeCell ref="P44:R44"/>
    <mergeCell ref="P45:R45"/>
    <mergeCell ref="P46:R46"/>
    <mergeCell ref="P47:R47"/>
    <mergeCell ref="B1:S1"/>
    <mergeCell ref="B36:B39"/>
    <mergeCell ref="C36:H39"/>
    <mergeCell ref="H22:J22"/>
    <mergeCell ref="B18:B19"/>
    <mergeCell ref="R2:S2"/>
    <mergeCell ref="N18:R19"/>
    <mergeCell ref="G5:S5"/>
    <mergeCell ref="G6:S6"/>
    <mergeCell ref="C18:G19"/>
    <mergeCell ref="Q25:S25"/>
    <mergeCell ref="N22:R22"/>
    <mergeCell ref="Q24:S24"/>
    <mergeCell ref="B23:S23"/>
    <mergeCell ref="B24:B25"/>
    <mergeCell ref="F22:G22"/>
    <mergeCell ref="H24:J25"/>
    <mergeCell ref="B28:G28"/>
    <mergeCell ref="C29:G29"/>
    <mergeCell ref="C24:G25"/>
    <mergeCell ref="K22:M22"/>
    <mergeCell ref="K24:P25"/>
    <mergeCell ref="H28:S28"/>
    <mergeCell ref="H29:S29"/>
    <mergeCell ref="B57:S57"/>
    <mergeCell ref="B11:H11"/>
    <mergeCell ref="B12:H12"/>
    <mergeCell ref="B15:H15"/>
    <mergeCell ref="B10:S10"/>
    <mergeCell ref="I11:S11"/>
    <mergeCell ref="I12:S12"/>
    <mergeCell ref="C44:H44"/>
    <mergeCell ref="N20:R20"/>
    <mergeCell ref="N21:R21"/>
    <mergeCell ref="F27:G27"/>
    <mergeCell ref="H26:J26"/>
    <mergeCell ref="H27:J27"/>
    <mergeCell ref="B17:S17"/>
    <mergeCell ref="H18:J19"/>
    <mergeCell ref="F20:G20"/>
    <mergeCell ref="F21:G21"/>
    <mergeCell ref="K20:M20"/>
    <mergeCell ref="K21:M21"/>
    <mergeCell ref="K18:M19"/>
    <mergeCell ref="P52:S52"/>
    <mergeCell ref="C50:O50"/>
    <mergeCell ref="C51:O51"/>
    <mergeCell ref="P40:R40"/>
    <mergeCell ref="I14:S14"/>
    <mergeCell ref="B54:S54"/>
    <mergeCell ref="B56:S56"/>
    <mergeCell ref="R3:S3"/>
    <mergeCell ref="I15:S15"/>
    <mergeCell ref="P16:S16"/>
    <mergeCell ref="I13:S13"/>
    <mergeCell ref="B16:O16"/>
    <mergeCell ref="H20:J20"/>
    <mergeCell ref="H21:J21"/>
    <mergeCell ref="N40:O40"/>
    <mergeCell ref="J32:S32"/>
    <mergeCell ref="J33:S33"/>
    <mergeCell ref="I36:K39"/>
    <mergeCell ref="B35:S35"/>
    <mergeCell ref="C32:I32"/>
    <mergeCell ref="K26:P26"/>
    <mergeCell ref="K27:P27"/>
    <mergeCell ref="Q26:S26"/>
    <mergeCell ref="P51:S51"/>
    <mergeCell ref="C31:I31"/>
    <mergeCell ref="C33:I33"/>
    <mergeCell ref="P36:S36"/>
    <mergeCell ref="P37:R39"/>
  </mergeCells>
  <dataValidations disablePrompts="1" count="3">
    <dataValidation type="list" showInputMessage="1" showErrorMessage="1" sqref="L40:L47 S20:S22" xr:uid="{00000000-0002-0000-0000-000000000000}">
      <formula1>PPDS</formula1>
    </dataValidation>
    <dataValidation type="list" showInputMessage="1" showErrorMessage="1" sqref="H26:J27" xr:uid="{00000000-0002-0000-0000-000001000000}">
      <formula1>DaNe</formula1>
    </dataValidation>
    <dataValidation type="list" showInputMessage="1" showErrorMessage="1" sqref="M40:M47" xr:uid="{00000000-0002-0000-0000-000002000000}">
      <formula1>Invalid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1          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6"/>
  <sheetViews>
    <sheetView tabSelected="1" zoomScaleNormal="100" workbookViewId="0"/>
  </sheetViews>
  <sheetFormatPr defaultColWidth="8.85546875" defaultRowHeight="14.25" x14ac:dyDescent="0.25"/>
  <cols>
    <col min="1" max="1" width="4.5703125" style="1" customWidth="1"/>
    <col min="2" max="2" width="3.5703125" style="1" customWidth="1"/>
    <col min="3" max="3" width="0.85546875" style="1" customWidth="1"/>
    <col min="4" max="4" width="17.7109375" style="1" customWidth="1"/>
    <col min="5" max="5" width="8.28515625" style="1" customWidth="1"/>
    <col min="6" max="6" width="8.85546875" style="1"/>
    <col min="7" max="7" width="12.28515625" style="1" customWidth="1"/>
    <col min="8" max="9" width="10" style="1" customWidth="1"/>
    <col min="10" max="10" width="8.85546875" style="1" customWidth="1"/>
    <col min="11" max="11" width="15.7109375" style="1" customWidth="1"/>
    <col min="12" max="12" width="4.42578125" style="1" customWidth="1"/>
    <col min="13" max="16384" width="8.85546875" style="1"/>
  </cols>
  <sheetData>
    <row r="1" spans="2:11" ht="24" customHeight="1" thickBot="1" x14ac:dyDescent="0.3"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2:11" ht="63" customHeight="1" thickBot="1" x14ac:dyDescent="0.3">
      <c r="B2" s="604" t="str">
        <f>"RRIF-ov DOH OBRAZAC          ZA "&amp;podaci!B2&amp;". GODINU"</f>
        <v>RRIF-ov DOH OBRAZAC          ZA 2023. GODINU</v>
      </c>
      <c r="C2" s="605"/>
      <c r="D2" s="605"/>
      <c r="E2" s="605"/>
      <c r="F2" s="605"/>
      <c r="G2" s="605"/>
      <c r="H2" s="605"/>
      <c r="I2" s="55"/>
      <c r="J2" s="55"/>
      <c r="K2" s="56"/>
    </row>
    <row r="3" spans="2:11" ht="24" customHeight="1" x14ac:dyDescent="0.25"/>
    <row r="4" spans="2:11" ht="30.75" x14ac:dyDescent="0.25">
      <c r="B4" s="607" t="s">
        <v>385</v>
      </c>
      <c r="C4" s="607"/>
      <c r="D4" s="607"/>
      <c r="E4" s="607"/>
      <c r="F4" s="607"/>
      <c r="G4" s="607"/>
      <c r="H4" s="607"/>
      <c r="I4" s="607"/>
      <c r="J4" s="607"/>
      <c r="K4" s="607"/>
    </row>
    <row r="5" spans="2:11" ht="30.75" x14ac:dyDescent="0.25">
      <c r="B5" s="606" t="s">
        <v>386</v>
      </c>
      <c r="C5" s="606"/>
      <c r="D5" s="606"/>
      <c r="E5" s="606"/>
      <c r="F5" s="606"/>
      <c r="G5" s="606"/>
      <c r="H5" s="606"/>
      <c r="I5" s="606"/>
      <c r="J5" s="606"/>
      <c r="K5" s="606"/>
    </row>
    <row r="6" spans="2:11" ht="24" customHeight="1" x14ac:dyDescent="0.25"/>
    <row r="7" spans="2:11" ht="19.149999999999999" customHeight="1" x14ac:dyDescent="0.25">
      <c r="B7" s="57" t="s">
        <v>374</v>
      </c>
    </row>
    <row r="8" spans="2:11" ht="6" customHeight="1" x14ac:dyDescent="0.25"/>
    <row r="9" spans="2:11" ht="19.149999999999999" customHeight="1" x14ac:dyDescent="0.25">
      <c r="B9" s="52" t="s">
        <v>1</v>
      </c>
      <c r="D9" s="1" t="s">
        <v>389</v>
      </c>
    </row>
    <row r="10" spans="2:11" ht="19.149999999999999" customHeight="1" x14ac:dyDescent="0.25">
      <c r="B10" s="52" t="s">
        <v>2</v>
      </c>
      <c r="D10" s="1" t="s">
        <v>378</v>
      </c>
    </row>
    <row r="11" spans="2:11" ht="19.149999999999999" customHeight="1" x14ac:dyDescent="0.25">
      <c r="B11" s="52" t="s">
        <v>3</v>
      </c>
      <c r="D11" s="1" t="s">
        <v>396</v>
      </c>
    </row>
    <row r="12" spans="2:11" ht="19.149999999999999" customHeight="1" x14ac:dyDescent="0.25">
      <c r="B12" s="52" t="s">
        <v>4</v>
      </c>
      <c r="D12" s="1" t="s">
        <v>375</v>
      </c>
    </row>
    <row r="13" spans="2:11" ht="19.149999999999999" customHeight="1" x14ac:dyDescent="0.25">
      <c r="B13" s="52" t="s">
        <v>5</v>
      </c>
      <c r="D13" s="1" t="s">
        <v>397</v>
      </c>
    </row>
    <row r="14" spans="2:11" ht="19.149999999999999" customHeight="1" x14ac:dyDescent="0.25">
      <c r="B14" s="52" t="s">
        <v>6</v>
      </c>
      <c r="D14" s="1" t="s">
        <v>406</v>
      </c>
    </row>
    <row r="15" spans="2:11" ht="19.149999999999999" customHeight="1" x14ac:dyDescent="0.25">
      <c r="B15" s="52" t="s">
        <v>7</v>
      </c>
      <c r="D15" s="1" t="s">
        <v>376</v>
      </c>
    </row>
    <row r="16" spans="2:11" ht="19.149999999999999" customHeight="1" x14ac:dyDescent="0.25">
      <c r="B16" s="52"/>
      <c r="D16" s="1" t="s">
        <v>377</v>
      </c>
    </row>
    <row r="17" spans="2:11" ht="19.899999999999999" customHeight="1" x14ac:dyDescent="0.25">
      <c r="B17" s="52"/>
    </row>
    <row r="18" spans="2:11" ht="19.149999999999999" customHeight="1" x14ac:dyDescent="0.25">
      <c r="B18" s="58" t="s">
        <v>379</v>
      </c>
      <c r="C18" s="53"/>
      <c r="D18" s="53"/>
    </row>
    <row r="19" spans="2:11" ht="6" customHeight="1" x14ac:dyDescent="0.25">
      <c r="B19" s="53"/>
      <c r="C19" s="53"/>
      <c r="D19" s="53"/>
    </row>
    <row r="20" spans="2:11" ht="19.149999999999999" customHeight="1" x14ac:dyDescent="0.25">
      <c r="B20" s="54" t="s">
        <v>1</v>
      </c>
      <c r="C20" s="53"/>
      <c r="D20" s="53" t="s">
        <v>380</v>
      </c>
    </row>
    <row r="21" spans="2:11" ht="19.149999999999999" customHeight="1" x14ac:dyDescent="0.25">
      <c r="B21" s="54" t="s">
        <v>2</v>
      </c>
      <c r="C21" s="53"/>
      <c r="D21" s="53" t="s">
        <v>381</v>
      </c>
    </row>
    <row r="22" spans="2:11" x14ac:dyDescent="0.25">
      <c r="B22" s="54"/>
      <c r="C22" s="53"/>
      <c r="D22" s="53" t="s">
        <v>382</v>
      </c>
    </row>
    <row r="23" spans="2:11" ht="19.899999999999999" customHeight="1" x14ac:dyDescent="0.25">
      <c r="B23" s="52"/>
    </row>
    <row r="24" spans="2:11" ht="19.149999999999999" customHeight="1" x14ac:dyDescent="0.25">
      <c r="B24" s="57" t="s">
        <v>383</v>
      </c>
    </row>
    <row r="25" spans="2:11" ht="6" customHeight="1" x14ac:dyDescent="0.25"/>
    <row r="26" spans="2:11" ht="19.149999999999999" customHeight="1" x14ac:dyDescent="0.25">
      <c r="B26" s="52" t="s">
        <v>1</v>
      </c>
      <c r="D26" s="1" t="str">
        <f>"U našem časopisu Računovodstvo, revizija i financije broj 2/"&amp;SljedecaGodina&amp;" biti će objavljen članak s"</f>
        <v>U našem časopisu Računovodstvo, revizija i financije broj 2/2024 biti će objavljen članak s</v>
      </c>
    </row>
    <row r="27" spans="2:11" ht="19.149999999999999" customHeight="1" x14ac:dyDescent="0.25">
      <c r="B27" s="52"/>
      <c r="D27" s="1" t="s">
        <v>422</v>
      </c>
    </row>
    <row r="28" spans="2:11" ht="19.149999999999999" customHeight="1" x14ac:dyDescent="0.25">
      <c r="B28" s="52" t="s">
        <v>2</v>
      </c>
      <c r="D28" s="1" t="s">
        <v>384</v>
      </c>
    </row>
    <row r="29" spans="2:11" ht="19.149999999999999" customHeight="1" x14ac:dyDescent="0.25">
      <c r="D29" s="1" t="str">
        <f>"i financije broj 1/"&amp;SljedecaGodina</f>
        <v>i financije broj 1/2024</v>
      </c>
    </row>
    <row r="30" spans="2:11" ht="19.149999999999999" hidden="1" customHeight="1" x14ac:dyDescent="0.25">
      <c r="B30" s="52" t="s">
        <v>3</v>
      </c>
      <c r="D30" s="1" t="s">
        <v>398</v>
      </c>
    </row>
    <row r="31" spans="2:11" ht="19.149999999999999" hidden="1" customHeight="1" x14ac:dyDescent="0.25">
      <c r="B31" s="52"/>
      <c r="D31" s="1" t="s">
        <v>399</v>
      </c>
      <c r="E31" s="608" t="s">
        <v>401</v>
      </c>
      <c r="F31" s="608"/>
      <c r="G31" s="608"/>
      <c r="H31" s="608"/>
      <c r="I31" s="608"/>
      <c r="J31" s="608"/>
      <c r="K31" s="608"/>
    </row>
    <row r="32" spans="2:11" ht="19.149999999999999" hidden="1" customHeight="1" x14ac:dyDescent="0.25">
      <c r="B32" s="52"/>
      <c r="D32" s="1" t="s">
        <v>400</v>
      </c>
    </row>
    <row r="33" spans="2:11" ht="19.149999999999999" hidden="1" customHeight="1" x14ac:dyDescent="0.25">
      <c r="B33" s="52"/>
      <c r="E33" s="608" t="s">
        <v>402</v>
      </c>
      <c r="F33" s="608"/>
      <c r="G33" s="608"/>
      <c r="H33" s="608"/>
      <c r="I33" s="608"/>
      <c r="J33" s="608"/>
      <c r="K33" s="608"/>
    </row>
    <row r="34" spans="2:11" ht="19.149999999999999" customHeight="1" x14ac:dyDescent="0.25">
      <c r="B34" s="52" t="s">
        <v>3</v>
      </c>
      <c r="D34" s="1" t="s">
        <v>387</v>
      </c>
    </row>
    <row r="35" spans="2:11" ht="19.149999999999999" customHeight="1" x14ac:dyDescent="0.25">
      <c r="D35" s="1" t="s">
        <v>598</v>
      </c>
      <c r="I35" s="182" t="s">
        <v>388</v>
      </c>
      <c r="J35" s="182"/>
      <c r="K35" s="182"/>
    </row>
    <row r="36" spans="2:11" ht="24" customHeight="1" x14ac:dyDescent="0.25">
      <c r="B36" s="603"/>
      <c r="C36" s="603"/>
      <c r="D36" s="603"/>
      <c r="E36" s="603"/>
      <c r="F36" s="603"/>
      <c r="G36" s="603"/>
      <c r="H36" s="603"/>
      <c r="I36" s="603"/>
      <c r="J36" s="603"/>
      <c r="K36" s="603"/>
    </row>
  </sheetData>
  <sheetProtection algorithmName="SHA-512" hashValue="F/2bD1Jn0jbzFYEcLTYWODP/oqQWMdk5s8WRmw6fDJXQWx9NcqP6PYsUmL4oWlN9vxubx0YUGjFw1t31GaVtKg==" saltValue="jt0qqPv0MyGVTh6fxriBfg==" spinCount="100000" sheet="1" objects="1" scenarios="1"/>
  <mergeCells count="7">
    <mergeCell ref="B1:K1"/>
    <mergeCell ref="B36:K36"/>
    <mergeCell ref="B2:H2"/>
    <mergeCell ref="B5:K5"/>
    <mergeCell ref="B4:K4"/>
    <mergeCell ref="E33:K33"/>
    <mergeCell ref="E31:K31"/>
  </mergeCells>
  <hyperlinks>
    <hyperlink ref="B5" r:id="rId1" xr:uid="{00000000-0004-0000-0900-000000000000}"/>
    <hyperlink ref="I35" r:id="rId2" xr:uid="{00000000-0004-0000-0900-000001000000}"/>
    <hyperlink ref="E31" r:id="rId3" xr:uid="{00000000-0004-0000-0900-000002000000}"/>
    <hyperlink ref="E33" r:id="rId4" xr:uid="{00000000-0004-0000-0900-000003000000}"/>
  </hyperlinks>
  <pageMargins left="0.39370078740157483" right="0.39370078740157483" top="0.47244094488188981" bottom="0.47244094488188981" header="0" footer="0.19685039370078741"/>
  <pageSetup paperSize="9" scale="9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70"/>
  <sheetViews>
    <sheetView zoomScaleNormal="100" workbookViewId="0">
      <selection activeCell="L3" sqref="L3"/>
    </sheetView>
  </sheetViews>
  <sheetFormatPr defaultColWidth="9.140625" defaultRowHeight="15" x14ac:dyDescent="0.25"/>
  <cols>
    <col min="1" max="1" width="2.85546875" customWidth="1"/>
    <col min="2" max="2" width="8" style="199" customWidth="1"/>
    <col min="3" max="3" width="1.140625" customWidth="1"/>
    <col min="4" max="4" width="25.28515625" style="213" bestFit="1" customWidth="1"/>
    <col min="5" max="5" width="11.42578125" style="199" customWidth="1"/>
    <col min="6" max="6" width="2.85546875" customWidth="1"/>
    <col min="7" max="7" width="4.5703125" style="183" customWidth="1"/>
    <col min="8" max="8" width="2.85546875" customWidth="1"/>
    <col min="9" max="9" width="24" style="213" bestFit="1" customWidth="1"/>
    <col min="10" max="10" width="11.42578125" style="199" customWidth="1"/>
    <col min="11" max="11" width="2.85546875" customWidth="1"/>
    <col min="12" max="12" width="11.42578125" style="220" customWidth="1"/>
    <col min="13" max="13" width="10.28515625" style="220" customWidth="1"/>
  </cols>
  <sheetData>
    <row r="1" spans="2:13" ht="15.75" thickBot="1" x14ac:dyDescent="0.3"/>
    <row r="2" spans="2:13" ht="15.75" thickBot="1" x14ac:dyDescent="0.3">
      <c r="B2" s="200">
        <v>2023</v>
      </c>
      <c r="D2" s="217" t="s">
        <v>655</v>
      </c>
      <c r="E2" s="208">
        <v>6000</v>
      </c>
      <c r="I2" s="213" t="s">
        <v>619</v>
      </c>
      <c r="L2" s="208">
        <v>47780.28</v>
      </c>
    </row>
    <row r="3" spans="2:13" ht="15.75" thickBot="1" x14ac:dyDescent="0.3">
      <c r="B3" s="199">
        <f>ZaGodinu+1</f>
        <v>2024</v>
      </c>
      <c r="D3" s="213" t="s">
        <v>656</v>
      </c>
      <c r="E3" s="208">
        <v>10664.04</v>
      </c>
      <c r="I3" s="213" t="s">
        <v>657</v>
      </c>
      <c r="L3" s="208">
        <v>331.81</v>
      </c>
    </row>
    <row r="4" spans="2:13" x14ac:dyDescent="0.25">
      <c r="B4" s="201">
        <v>4</v>
      </c>
    </row>
    <row r="5" spans="2:13" x14ac:dyDescent="0.25">
      <c r="B5" s="201"/>
    </row>
    <row r="6" spans="2:13" x14ac:dyDescent="0.25">
      <c r="B6" s="202">
        <v>1</v>
      </c>
      <c r="C6" s="184"/>
      <c r="D6" s="218" t="s">
        <v>367</v>
      </c>
      <c r="E6" s="209">
        <v>0</v>
      </c>
      <c r="F6" s="184"/>
      <c r="G6" s="185" t="s">
        <v>369</v>
      </c>
      <c r="I6" s="213" t="s">
        <v>410</v>
      </c>
      <c r="J6" s="211">
        <v>0.05</v>
      </c>
      <c r="L6" s="220" t="str">
        <f>IF(D6=I6,"ok","RAZLIKA")</f>
        <v>RAZLIKA</v>
      </c>
      <c r="M6" s="220" t="str">
        <f>IF(E6=J6,"ok","RAZLIKA")</f>
        <v>RAZLIKA</v>
      </c>
    </row>
    <row r="7" spans="2:13" x14ac:dyDescent="0.25">
      <c r="B7" s="203">
        <f>B6+1</f>
        <v>2</v>
      </c>
      <c r="C7" s="186"/>
      <c r="D7" s="214" t="s">
        <v>369</v>
      </c>
      <c r="E7" s="210">
        <v>0</v>
      </c>
      <c r="F7" s="186"/>
      <c r="G7" s="187" t="s">
        <v>369</v>
      </c>
    </row>
    <row r="8" spans="2:13" x14ac:dyDescent="0.25">
      <c r="B8" s="203">
        <f t="shared" ref="B8:B75" si="0">B7+1</f>
        <v>3</v>
      </c>
      <c r="C8" s="186"/>
      <c r="D8" s="214" t="s">
        <v>111</v>
      </c>
      <c r="E8" s="210">
        <v>0.18</v>
      </c>
      <c r="F8" s="186"/>
      <c r="G8" s="187" t="s">
        <v>369</v>
      </c>
      <c r="I8" s="213" t="s">
        <v>111</v>
      </c>
      <c r="J8" s="210">
        <v>0.18</v>
      </c>
      <c r="L8" s="220" t="str">
        <f>IF(D8=I8,"ok","RAZLIKA")</f>
        <v>ok</v>
      </c>
      <c r="M8" s="220" t="str">
        <f>IF(E8=J8,"ok","RAZLIKA")</f>
        <v>ok</v>
      </c>
    </row>
    <row r="9" spans="2:13" x14ac:dyDescent="0.25">
      <c r="B9" s="203">
        <f t="shared" si="0"/>
        <v>4</v>
      </c>
      <c r="C9" s="186"/>
      <c r="D9" s="214" t="s">
        <v>322</v>
      </c>
      <c r="E9" s="210">
        <v>0.15</v>
      </c>
      <c r="F9" s="186"/>
      <c r="G9" s="187" t="s">
        <v>369</v>
      </c>
      <c r="I9" s="213" t="s">
        <v>322</v>
      </c>
      <c r="J9" s="210">
        <v>0.15</v>
      </c>
      <c r="L9" s="220" t="str">
        <f t="shared" ref="L9:L11" si="1">IF(D9=I9,"ok","RAZLIKA")</f>
        <v>ok</v>
      </c>
      <c r="M9" s="220" t="str">
        <f t="shared" ref="M9:M11" si="2">IF(E9=J9,"ok","RAZLIKA")</f>
        <v>ok</v>
      </c>
    </row>
    <row r="10" spans="2:13" x14ac:dyDescent="0.25">
      <c r="B10" s="203">
        <f t="shared" si="0"/>
        <v>5</v>
      </c>
      <c r="C10" s="186"/>
      <c r="D10" s="214" t="s">
        <v>199</v>
      </c>
      <c r="E10" s="211">
        <v>0.13</v>
      </c>
      <c r="F10" s="186"/>
      <c r="G10" s="187" t="s">
        <v>369</v>
      </c>
      <c r="I10" s="213" t="s">
        <v>199</v>
      </c>
      <c r="J10" s="211">
        <v>0.13</v>
      </c>
      <c r="L10" s="220" t="str">
        <f t="shared" si="1"/>
        <v>ok</v>
      </c>
      <c r="M10" s="220" t="str">
        <f t="shared" si="2"/>
        <v>ok</v>
      </c>
    </row>
    <row r="11" spans="2:13" x14ac:dyDescent="0.25">
      <c r="B11" s="203">
        <f t="shared" si="0"/>
        <v>6</v>
      </c>
      <c r="C11" s="186"/>
      <c r="D11" s="214" t="s">
        <v>112</v>
      </c>
      <c r="E11" s="210">
        <v>0.13</v>
      </c>
      <c r="F11" s="186"/>
      <c r="G11" s="187" t="s">
        <v>369</v>
      </c>
      <c r="I11" s="213" t="s">
        <v>112</v>
      </c>
      <c r="J11" s="210">
        <v>0.13</v>
      </c>
      <c r="L11" s="220" t="str">
        <f t="shared" si="1"/>
        <v>ok</v>
      </c>
      <c r="M11" s="220" t="str">
        <f t="shared" si="2"/>
        <v>ok</v>
      </c>
    </row>
    <row r="12" spans="2:13" x14ac:dyDescent="0.25">
      <c r="B12" s="203">
        <f t="shared" si="0"/>
        <v>7</v>
      </c>
      <c r="C12" s="186"/>
      <c r="D12" s="214" t="s">
        <v>369</v>
      </c>
      <c r="E12" s="210">
        <v>0</v>
      </c>
      <c r="F12" s="186"/>
      <c r="G12" s="187" t="s">
        <v>369</v>
      </c>
      <c r="I12" s="213" t="s">
        <v>369</v>
      </c>
      <c r="J12" s="199">
        <v>0</v>
      </c>
    </row>
    <row r="13" spans="2:13" x14ac:dyDescent="0.25">
      <c r="B13" s="203">
        <f t="shared" si="0"/>
        <v>8</v>
      </c>
      <c r="C13" s="186"/>
      <c r="D13" s="214" t="s">
        <v>279</v>
      </c>
      <c r="E13" s="210">
        <v>0.08</v>
      </c>
      <c r="F13" s="186"/>
      <c r="G13" s="187" t="s">
        <v>369</v>
      </c>
      <c r="I13" s="213" t="s">
        <v>279</v>
      </c>
      <c r="J13" s="211">
        <v>0.08</v>
      </c>
      <c r="L13" s="220" t="str">
        <f t="shared" ref="L13" si="3">IF(D13=I13,"ok","RAZLIKA")</f>
        <v>ok</v>
      </c>
      <c r="M13" s="220" t="str">
        <f t="shared" ref="M13" si="4">IF(E13=J13,"ok","RAZLIKA")</f>
        <v>ok</v>
      </c>
    </row>
    <row r="14" spans="2:13" x14ac:dyDescent="0.25">
      <c r="B14" s="203">
        <f t="shared" si="0"/>
        <v>9</v>
      </c>
      <c r="C14" s="186"/>
      <c r="D14" s="214" t="s">
        <v>646</v>
      </c>
      <c r="E14" s="210">
        <v>0</v>
      </c>
      <c r="F14" s="186"/>
      <c r="G14" s="187"/>
      <c r="I14" s="213" t="s">
        <v>646</v>
      </c>
      <c r="J14" s="211">
        <v>0</v>
      </c>
      <c r="L14" s="220" t="str">
        <f t="shared" ref="L14:L66" si="5">IF(D14=I14,"ok","RAZLIKA")</f>
        <v>ok</v>
      </c>
      <c r="M14" s="220" t="str">
        <f t="shared" ref="M14:M66" si="6">IF(E14=J14,"ok","RAZLIKA")</f>
        <v>ok</v>
      </c>
    </row>
    <row r="15" spans="2:13" x14ac:dyDescent="0.25">
      <c r="B15" s="203">
        <f t="shared" si="0"/>
        <v>10</v>
      </c>
      <c r="C15" s="186"/>
      <c r="D15" s="214" t="s">
        <v>455</v>
      </c>
      <c r="E15" s="210">
        <v>0.05</v>
      </c>
      <c r="F15" s="186"/>
      <c r="G15" s="187" t="s">
        <v>369</v>
      </c>
      <c r="I15" s="213" t="s">
        <v>455</v>
      </c>
      <c r="J15" s="211">
        <v>0.05</v>
      </c>
      <c r="L15" s="220" t="str">
        <f t="shared" si="5"/>
        <v>ok</v>
      </c>
      <c r="M15" s="220" t="str">
        <f t="shared" si="6"/>
        <v>ok</v>
      </c>
    </row>
    <row r="16" spans="2:13" x14ac:dyDescent="0.25">
      <c r="B16" s="203">
        <f t="shared" si="0"/>
        <v>11</v>
      </c>
      <c r="C16" s="186"/>
      <c r="D16" s="214" t="s">
        <v>351</v>
      </c>
      <c r="E16" s="210">
        <v>0.01</v>
      </c>
      <c r="F16" s="186"/>
      <c r="G16" s="187" t="s">
        <v>369</v>
      </c>
      <c r="I16" s="213" t="s">
        <v>351</v>
      </c>
      <c r="J16" s="211">
        <v>0.01</v>
      </c>
      <c r="L16" s="220" t="str">
        <f t="shared" si="5"/>
        <v>ok</v>
      </c>
      <c r="M16" s="220" t="str">
        <f t="shared" si="6"/>
        <v>ok</v>
      </c>
    </row>
    <row r="17" spans="2:13" x14ac:dyDescent="0.25">
      <c r="B17" s="203">
        <f t="shared" si="0"/>
        <v>12</v>
      </c>
      <c r="C17" s="186"/>
      <c r="D17" s="214" t="s">
        <v>344</v>
      </c>
      <c r="E17" s="210">
        <v>0.05</v>
      </c>
      <c r="F17" s="186"/>
      <c r="G17" s="187" t="s">
        <v>369</v>
      </c>
      <c r="I17" s="213" t="s">
        <v>344</v>
      </c>
      <c r="J17" s="211">
        <v>0.05</v>
      </c>
      <c r="L17" s="220" t="str">
        <f t="shared" si="5"/>
        <v>ok</v>
      </c>
      <c r="M17" s="220" t="str">
        <f t="shared" si="6"/>
        <v>ok</v>
      </c>
    </row>
    <row r="18" spans="2:13" x14ac:dyDescent="0.25">
      <c r="B18" s="203">
        <f t="shared" si="0"/>
        <v>13</v>
      </c>
      <c r="C18" s="186"/>
      <c r="D18" s="214" t="s">
        <v>130</v>
      </c>
      <c r="E18" s="210">
        <v>0.03</v>
      </c>
      <c r="F18" s="186"/>
      <c r="G18" s="187" t="s">
        <v>369</v>
      </c>
      <c r="I18" s="213" t="s">
        <v>130</v>
      </c>
      <c r="J18" s="211">
        <v>0.03</v>
      </c>
      <c r="L18" s="220" t="str">
        <f t="shared" si="5"/>
        <v>ok</v>
      </c>
      <c r="M18" s="220" t="str">
        <f t="shared" si="6"/>
        <v>ok</v>
      </c>
    </row>
    <row r="19" spans="2:13" x14ac:dyDescent="0.25">
      <c r="B19" s="203">
        <f t="shared" si="0"/>
        <v>14</v>
      </c>
      <c r="C19" s="186"/>
      <c r="D19" s="214" t="s">
        <v>164</v>
      </c>
      <c r="E19" s="210">
        <v>0.1</v>
      </c>
      <c r="F19" s="186"/>
      <c r="G19" s="187" t="s">
        <v>369</v>
      </c>
      <c r="I19" s="213" t="s">
        <v>164</v>
      </c>
      <c r="J19" s="211">
        <v>0.1</v>
      </c>
      <c r="L19" s="220" t="str">
        <f t="shared" si="5"/>
        <v>ok</v>
      </c>
      <c r="M19" s="220" t="str">
        <f t="shared" si="6"/>
        <v>ok</v>
      </c>
    </row>
    <row r="20" spans="2:13" x14ac:dyDescent="0.25">
      <c r="B20" s="203">
        <f t="shared" si="0"/>
        <v>15</v>
      </c>
      <c r="C20" s="186"/>
      <c r="D20" s="214" t="s">
        <v>238</v>
      </c>
      <c r="E20" s="210">
        <v>0.05</v>
      </c>
      <c r="F20" s="186"/>
      <c r="G20" s="187" t="s">
        <v>369</v>
      </c>
      <c r="I20" s="213" t="s">
        <v>238</v>
      </c>
      <c r="J20" s="211">
        <v>0.05</v>
      </c>
      <c r="L20" s="220" t="str">
        <f t="shared" si="5"/>
        <v>ok</v>
      </c>
      <c r="M20" s="220" t="str">
        <f t="shared" si="6"/>
        <v>ok</v>
      </c>
    </row>
    <row r="21" spans="2:13" x14ac:dyDescent="0.25">
      <c r="B21" s="203">
        <f t="shared" si="0"/>
        <v>16</v>
      </c>
      <c r="C21" s="186"/>
      <c r="D21" s="214" t="s">
        <v>366</v>
      </c>
      <c r="E21" s="210">
        <v>0</v>
      </c>
      <c r="F21" s="186"/>
      <c r="G21" s="187" t="s">
        <v>369</v>
      </c>
      <c r="I21" s="213" t="s">
        <v>366</v>
      </c>
      <c r="J21" s="211">
        <v>0</v>
      </c>
      <c r="L21" s="220" t="str">
        <f t="shared" si="5"/>
        <v>ok</v>
      </c>
      <c r="M21" s="220" t="str">
        <f t="shared" si="6"/>
        <v>ok</v>
      </c>
    </row>
    <row r="22" spans="2:13" x14ac:dyDescent="0.25">
      <c r="B22" s="203">
        <f t="shared" si="0"/>
        <v>17</v>
      </c>
      <c r="C22" s="186"/>
      <c r="D22" s="214" t="s">
        <v>257</v>
      </c>
      <c r="E22" s="211">
        <v>7.0000000000000007E-2</v>
      </c>
      <c r="F22" s="186"/>
      <c r="G22" s="187" t="s">
        <v>369</v>
      </c>
      <c r="I22" s="213" t="s">
        <v>257</v>
      </c>
      <c r="J22" s="211">
        <v>7.0000000000000007E-2</v>
      </c>
      <c r="L22" s="220" t="str">
        <f t="shared" si="5"/>
        <v>ok</v>
      </c>
      <c r="M22" s="220" t="str">
        <f t="shared" si="6"/>
        <v>ok</v>
      </c>
    </row>
    <row r="23" spans="2:13" x14ac:dyDescent="0.25">
      <c r="B23" s="203">
        <f t="shared" si="0"/>
        <v>18</v>
      </c>
      <c r="C23" s="186"/>
      <c r="D23" s="214" t="s">
        <v>234</v>
      </c>
      <c r="E23" s="210">
        <v>0.05</v>
      </c>
      <c r="F23" s="186"/>
      <c r="G23" s="187" t="s">
        <v>369</v>
      </c>
      <c r="I23" s="213" t="s">
        <v>234</v>
      </c>
      <c r="J23" s="211">
        <v>0.05</v>
      </c>
      <c r="L23" s="220" t="str">
        <f t="shared" si="5"/>
        <v>ok</v>
      </c>
      <c r="M23" s="220" t="str">
        <f t="shared" si="6"/>
        <v>ok</v>
      </c>
    </row>
    <row r="24" spans="2:13" x14ac:dyDescent="0.25">
      <c r="B24" s="203">
        <f t="shared" si="0"/>
        <v>19</v>
      </c>
      <c r="C24" s="186"/>
      <c r="D24" s="214" t="s">
        <v>177</v>
      </c>
      <c r="E24" s="210">
        <v>7.0000000000000007E-2</v>
      </c>
      <c r="F24" s="186"/>
      <c r="G24" s="187" t="s">
        <v>369</v>
      </c>
      <c r="I24" s="213" t="s">
        <v>177</v>
      </c>
      <c r="J24" s="211">
        <v>7.0000000000000007E-2</v>
      </c>
      <c r="L24" s="220" t="str">
        <f t="shared" si="5"/>
        <v>ok</v>
      </c>
      <c r="M24" s="220" t="str">
        <f t="shared" si="6"/>
        <v>ok</v>
      </c>
    </row>
    <row r="25" spans="2:13" x14ac:dyDescent="0.25">
      <c r="B25" s="203">
        <f t="shared" si="0"/>
        <v>20</v>
      </c>
      <c r="C25" s="186"/>
      <c r="D25" s="214" t="s">
        <v>271</v>
      </c>
      <c r="E25" s="210">
        <v>0.1</v>
      </c>
      <c r="F25" s="186"/>
      <c r="G25" s="187" t="s">
        <v>369</v>
      </c>
      <c r="I25" s="213" t="s">
        <v>271</v>
      </c>
      <c r="J25" s="211">
        <v>0.1</v>
      </c>
      <c r="L25" s="220" t="str">
        <f t="shared" si="5"/>
        <v>ok</v>
      </c>
      <c r="M25" s="220" t="str">
        <f t="shared" si="6"/>
        <v>ok</v>
      </c>
    </row>
    <row r="26" spans="2:13" x14ac:dyDescent="0.25">
      <c r="B26" s="203">
        <f t="shared" si="0"/>
        <v>21</v>
      </c>
      <c r="C26" s="186"/>
      <c r="D26" s="214" t="s">
        <v>239</v>
      </c>
      <c r="E26" s="210">
        <v>0.05</v>
      </c>
      <c r="F26" s="186"/>
      <c r="G26" s="187" t="s">
        <v>369</v>
      </c>
      <c r="I26" s="213" t="s">
        <v>239</v>
      </c>
      <c r="J26" s="211">
        <v>0.05</v>
      </c>
      <c r="L26" s="220" t="str">
        <f t="shared" si="5"/>
        <v>ok</v>
      </c>
      <c r="M26" s="220" t="str">
        <f t="shared" si="6"/>
        <v>ok</v>
      </c>
    </row>
    <row r="27" spans="2:13" x14ac:dyDescent="0.25">
      <c r="B27" s="203">
        <f t="shared" si="0"/>
        <v>22</v>
      </c>
      <c r="C27" s="186"/>
      <c r="D27" s="214" t="s">
        <v>447</v>
      </c>
      <c r="E27" s="210">
        <v>0.12</v>
      </c>
      <c r="F27" s="186"/>
      <c r="G27" s="187" t="s">
        <v>369</v>
      </c>
      <c r="I27" s="213" t="s">
        <v>447</v>
      </c>
      <c r="J27" s="211">
        <v>0.12</v>
      </c>
      <c r="L27" s="220" t="str">
        <f t="shared" si="5"/>
        <v>ok</v>
      </c>
      <c r="M27" s="220" t="str">
        <f t="shared" si="6"/>
        <v>ok</v>
      </c>
    </row>
    <row r="28" spans="2:13" x14ac:dyDescent="0.25">
      <c r="B28" s="203">
        <f t="shared" si="0"/>
        <v>23</v>
      </c>
      <c r="C28" s="186"/>
      <c r="D28" s="214" t="s">
        <v>265</v>
      </c>
      <c r="E28" s="210">
        <v>0.04</v>
      </c>
      <c r="F28" s="186"/>
      <c r="G28" s="187" t="s">
        <v>369</v>
      </c>
      <c r="I28" s="213" t="s">
        <v>265</v>
      </c>
      <c r="J28" s="211">
        <v>0.04</v>
      </c>
      <c r="L28" s="220" t="str">
        <f t="shared" si="5"/>
        <v>ok</v>
      </c>
      <c r="M28" s="220" t="str">
        <f t="shared" si="6"/>
        <v>ok</v>
      </c>
    </row>
    <row r="29" spans="2:13" x14ac:dyDescent="0.25">
      <c r="B29" s="203">
        <f t="shared" si="0"/>
        <v>24</v>
      </c>
      <c r="C29" s="186"/>
      <c r="D29" s="214" t="s">
        <v>138</v>
      </c>
      <c r="E29" s="210">
        <v>0.1</v>
      </c>
      <c r="F29" s="186"/>
      <c r="G29" s="187" t="s">
        <v>369</v>
      </c>
      <c r="I29" s="213" t="s">
        <v>138</v>
      </c>
      <c r="J29" s="211">
        <v>0.1</v>
      </c>
      <c r="L29" s="220" t="str">
        <f t="shared" si="5"/>
        <v>ok</v>
      </c>
      <c r="M29" s="220" t="str">
        <f t="shared" si="6"/>
        <v>ok</v>
      </c>
    </row>
    <row r="30" spans="2:13" x14ac:dyDescent="0.25">
      <c r="B30" s="203">
        <f t="shared" si="0"/>
        <v>25</v>
      </c>
      <c r="C30" s="186"/>
      <c r="D30" s="214" t="s">
        <v>258</v>
      </c>
      <c r="E30" s="210">
        <v>0.03</v>
      </c>
      <c r="F30" s="186"/>
      <c r="G30" s="187" t="s">
        <v>369</v>
      </c>
      <c r="I30" s="213" t="s">
        <v>258</v>
      </c>
      <c r="J30" s="211">
        <v>0.03</v>
      </c>
      <c r="L30" s="220" t="str">
        <f t="shared" si="5"/>
        <v>ok</v>
      </c>
      <c r="M30" s="220" t="str">
        <f t="shared" si="6"/>
        <v>ok</v>
      </c>
    </row>
    <row r="31" spans="2:13" x14ac:dyDescent="0.25">
      <c r="B31" s="203">
        <f t="shared" si="0"/>
        <v>26</v>
      </c>
      <c r="C31" s="186"/>
      <c r="D31" s="214" t="s">
        <v>184</v>
      </c>
      <c r="E31" s="211">
        <v>0</v>
      </c>
      <c r="F31" s="186"/>
      <c r="G31" s="187" t="s">
        <v>369</v>
      </c>
      <c r="I31" s="213" t="s">
        <v>184</v>
      </c>
      <c r="J31" s="211">
        <v>0</v>
      </c>
      <c r="L31" s="220" t="str">
        <f t="shared" si="5"/>
        <v>ok</v>
      </c>
      <c r="M31" s="220" t="str">
        <f t="shared" si="6"/>
        <v>ok</v>
      </c>
    </row>
    <row r="32" spans="2:13" x14ac:dyDescent="0.25">
      <c r="B32" s="203">
        <f t="shared" si="0"/>
        <v>27</v>
      </c>
      <c r="C32" s="186"/>
      <c r="D32" s="214" t="s">
        <v>359</v>
      </c>
      <c r="E32" s="210">
        <v>0.1</v>
      </c>
      <c r="F32" s="186"/>
      <c r="G32" s="187" t="s">
        <v>369</v>
      </c>
      <c r="I32" s="213" t="s">
        <v>359</v>
      </c>
      <c r="J32" s="211">
        <v>0.1</v>
      </c>
      <c r="L32" s="220" t="str">
        <f t="shared" si="5"/>
        <v>ok</v>
      </c>
      <c r="M32" s="220" t="str">
        <f t="shared" si="6"/>
        <v>ok</v>
      </c>
    </row>
    <row r="33" spans="2:13" x14ac:dyDescent="0.25">
      <c r="B33" s="203">
        <f t="shared" si="0"/>
        <v>28</v>
      </c>
      <c r="C33" s="186"/>
      <c r="D33" s="214" t="s">
        <v>295</v>
      </c>
      <c r="E33" s="210">
        <v>0.1</v>
      </c>
      <c r="F33" s="186"/>
      <c r="G33" s="187" t="s">
        <v>369</v>
      </c>
      <c r="I33" s="213" t="s">
        <v>295</v>
      </c>
      <c r="J33" s="211">
        <v>0.1</v>
      </c>
      <c r="L33" s="220" t="str">
        <f t="shared" si="5"/>
        <v>ok</v>
      </c>
      <c r="M33" s="220" t="str">
        <f t="shared" si="6"/>
        <v>ok</v>
      </c>
    </row>
    <row r="34" spans="2:13" x14ac:dyDescent="0.25">
      <c r="B34" s="203">
        <f t="shared" si="0"/>
        <v>29</v>
      </c>
      <c r="C34" s="186"/>
      <c r="D34" s="214" t="s">
        <v>285</v>
      </c>
      <c r="E34" s="211">
        <v>0.06</v>
      </c>
      <c r="F34" s="186"/>
      <c r="G34" s="187" t="s">
        <v>369</v>
      </c>
      <c r="I34" s="213" t="s">
        <v>285</v>
      </c>
      <c r="J34" s="211">
        <v>0.06</v>
      </c>
      <c r="L34" s="220" t="str">
        <f t="shared" si="5"/>
        <v>ok</v>
      </c>
      <c r="M34" s="220" t="str">
        <f t="shared" si="6"/>
        <v>ok</v>
      </c>
    </row>
    <row r="35" spans="2:13" x14ac:dyDescent="0.25">
      <c r="B35" s="203">
        <f t="shared" si="0"/>
        <v>30</v>
      </c>
      <c r="C35" s="186"/>
      <c r="D35" s="214" t="s">
        <v>290</v>
      </c>
      <c r="E35" s="211">
        <v>0</v>
      </c>
      <c r="F35" s="186"/>
      <c r="G35" s="187" t="s">
        <v>369</v>
      </c>
      <c r="I35" s="213" t="s">
        <v>290</v>
      </c>
      <c r="J35" s="211">
        <v>0</v>
      </c>
      <c r="L35" s="220" t="str">
        <f t="shared" si="5"/>
        <v>ok</v>
      </c>
      <c r="M35" s="220" t="str">
        <f t="shared" si="6"/>
        <v>ok</v>
      </c>
    </row>
    <row r="36" spans="2:13" x14ac:dyDescent="0.25">
      <c r="B36" s="203">
        <f t="shared" si="0"/>
        <v>31</v>
      </c>
      <c r="C36" s="186"/>
      <c r="D36" s="214" t="s">
        <v>118</v>
      </c>
      <c r="E36" s="210">
        <v>0.03</v>
      </c>
      <c r="F36" s="186"/>
      <c r="G36" s="187" t="s">
        <v>369</v>
      </c>
      <c r="I36" s="213" t="s">
        <v>118</v>
      </c>
      <c r="J36" s="211">
        <v>0.03</v>
      </c>
      <c r="L36" s="220" t="str">
        <f t="shared" si="5"/>
        <v>ok</v>
      </c>
      <c r="M36" s="220" t="str">
        <f t="shared" si="6"/>
        <v>ok</v>
      </c>
    </row>
    <row r="37" spans="2:13" x14ac:dyDescent="0.25">
      <c r="B37" s="203">
        <f t="shared" si="0"/>
        <v>32</v>
      </c>
      <c r="C37" s="186"/>
      <c r="D37" s="214" t="s">
        <v>139</v>
      </c>
      <c r="E37" s="210">
        <v>0.1</v>
      </c>
      <c r="F37" s="186"/>
      <c r="G37" s="187" t="s">
        <v>369</v>
      </c>
      <c r="I37" s="213" t="s">
        <v>139</v>
      </c>
      <c r="J37" s="211">
        <v>0.1</v>
      </c>
      <c r="L37" s="220" t="str">
        <f t="shared" si="5"/>
        <v>ok</v>
      </c>
      <c r="M37" s="220" t="str">
        <f t="shared" si="6"/>
        <v>ok</v>
      </c>
    </row>
    <row r="38" spans="2:13" x14ac:dyDescent="0.25">
      <c r="B38" s="203">
        <f t="shared" si="0"/>
        <v>33</v>
      </c>
      <c r="C38" s="186"/>
      <c r="D38" s="214" t="s">
        <v>310</v>
      </c>
      <c r="E38" s="210">
        <v>0.05</v>
      </c>
      <c r="F38" s="186"/>
      <c r="G38" s="187" t="s">
        <v>369</v>
      </c>
      <c r="I38" s="213" t="s">
        <v>310</v>
      </c>
      <c r="J38" s="211">
        <v>0.05</v>
      </c>
      <c r="L38" s="220" t="str">
        <f t="shared" si="5"/>
        <v>ok</v>
      </c>
      <c r="M38" s="220" t="str">
        <f t="shared" si="6"/>
        <v>ok</v>
      </c>
    </row>
    <row r="39" spans="2:13" x14ac:dyDescent="0.25">
      <c r="B39" s="203">
        <f t="shared" si="0"/>
        <v>34</v>
      </c>
      <c r="C39" s="186"/>
      <c r="D39" s="214" t="s">
        <v>211</v>
      </c>
      <c r="E39" s="210">
        <v>0.05</v>
      </c>
      <c r="F39" s="186"/>
      <c r="G39" s="187" t="s">
        <v>369</v>
      </c>
      <c r="I39" s="213" t="s">
        <v>211</v>
      </c>
      <c r="J39" s="211">
        <v>0.05</v>
      </c>
      <c r="L39" s="220" t="str">
        <f t="shared" si="5"/>
        <v>ok</v>
      </c>
      <c r="M39" s="220" t="str">
        <f t="shared" si="6"/>
        <v>ok</v>
      </c>
    </row>
    <row r="40" spans="2:13" x14ac:dyDescent="0.25">
      <c r="B40" s="203">
        <f t="shared" si="0"/>
        <v>35</v>
      </c>
      <c r="C40" s="186"/>
      <c r="D40" s="214" t="s">
        <v>173</v>
      </c>
      <c r="E40" s="210">
        <v>0.1</v>
      </c>
      <c r="F40" s="186"/>
      <c r="G40" s="187" t="s">
        <v>369</v>
      </c>
      <c r="I40" s="213" t="s">
        <v>173</v>
      </c>
      <c r="J40" s="211">
        <v>0.1</v>
      </c>
      <c r="L40" s="220" t="str">
        <f t="shared" si="5"/>
        <v>ok</v>
      </c>
      <c r="M40" s="220" t="str">
        <f t="shared" si="6"/>
        <v>ok</v>
      </c>
    </row>
    <row r="41" spans="2:13" x14ac:dyDescent="0.25">
      <c r="B41" s="203">
        <f t="shared" si="0"/>
        <v>36</v>
      </c>
      <c r="C41" s="186"/>
      <c r="D41" s="214" t="s">
        <v>409</v>
      </c>
      <c r="E41" s="210">
        <v>0.03</v>
      </c>
      <c r="F41" s="186"/>
      <c r="G41" s="187" t="s">
        <v>369</v>
      </c>
      <c r="I41" s="213" t="s">
        <v>409</v>
      </c>
      <c r="J41" s="211">
        <v>0.03</v>
      </c>
      <c r="L41" s="220" t="str">
        <f t="shared" si="5"/>
        <v>ok</v>
      </c>
      <c r="M41" s="220" t="str">
        <f t="shared" si="6"/>
        <v>ok</v>
      </c>
    </row>
    <row r="42" spans="2:13" x14ac:dyDescent="0.25">
      <c r="B42" s="203">
        <f t="shared" si="0"/>
        <v>37</v>
      </c>
      <c r="C42" s="186"/>
      <c r="D42" s="214" t="s">
        <v>206</v>
      </c>
      <c r="E42" s="210">
        <v>0.1</v>
      </c>
      <c r="F42" s="186"/>
      <c r="G42" s="187" t="s">
        <v>369</v>
      </c>
      <c r="I42" s="213" t="s">
        <v>206</v>
      </c>
      <c r="J42" s="211">
        <v>0.1</v>
      </c>
      <c r="L42" s="220" t="str">
        <f t="shared" si="5"/>
        <v>ok</v>
      </c>
      <c r="M42" s="220" t="str">
        <f t="shared" si="6"/>
        <v>ok</v>
      </c>
    </row>
    <row r="43" spans="2:13" x14ac:dyDescent="0.25">
      <c r="B43" s="203">
        <f t="shared" si="0"/>
        <v>38</v>
      </c>
      <c r="C43" s="186"/>
      <c r="D43" s="214" t="s">
        <v>227</v>
      </c>
      <c r="E43" s="210">
        <v>0.1</v>
      </c>
      <c r="F43" s="186"/>
      <c r="G43" s="187" t="s">
        <v>369</v>
      </c>
      <c r="I43" s="213" t="s">
        <v>227</v>
      </c>
      <c r="J43" s="211">
        <v>0.1</v>
      </c>
      <c r="L43" s="220" t="str">
        <f t="shared" si="5"/>
        <v>ok</v>
      </c>
      <c r="M43" s="220" t="str">
        <f t="shared" si="6"/>
        <v>ok</v>
      </c>
    </row>
    <row r="44" spans="2:13" x14ac:dyDescent="0.25">
      <c r="B44" s="203">
        <f t="shared" si="0"/>
        <v>39</v>
      </c>
      <c r="C44" s="186"/>
      <c r="D44" s="214" t="s">
        <v>328</v>
      </c>
      <c r="E44" s="210">
        <v>0.06</v>
      </c>
      <c r="F44" s="186"/>
      <c r="G44" s="187" t="s">
        <v>369</v>
      </c>
      <c r="I44" s="213" t="s">
        <v>328</v>
      </c>
      <c r="J44" s="211">
        <v>0.06</v>
      </c>
      <c r="L44" s="220" t="str">
        <f t="shared" si="5"/>
        <v>ok</v>
      </c>
      <c r="M44" s="220" t="str">
        <f t="shared" si="6"/>
        <v>ok</v>
      </c>
    </row>
    <row r="45" spans="2:13" x14ac:dyDescent="0.25">
      <c r="B45" s="203">
        <f t="shared" si="0"/>
        <v>40</v>
      </c>
      <c r="C45" s="186"/>
      <c r="D45" s="214" t="s">
        <v>228</v>
      </c>
      <c r="E45" s="210">
        <v>0.1</v>
      </c>
      <c r="F45" s="186"/>
      <c r="G45" s="187" t="s">
        <v>369</v>
      </c>
      <c r="I45" s="213" t="s">
        <v>228</v>
      </c>
      <c r="J45" s="211">
        <v>0.1</v>
      </c>
      <c r="L45" s="220" t="str">
        <f t="shared" si="5"/>
        <v>ok</v>
      </c>
      <c r="M45" s="220" t="str">
        <f t="shared" si="6"/>
        <v>ok</v>
      </c>
    </row>
    <row r="46" spans="2:13" x14ac:dyDescent="0.25">
      <c r="B46" s="203">
        <f t="shared" si="0"/>
        <v>41</v>
      </c>
      <c r="C46" s="186"/>
      <c r="D46" s="214" t="s">
        <v>448</v>
      </c>
      <c r="E46" s="210">
        <v>0.06</v>
      </c>
      <c r="F46" s="186"/>
      <c r="G46" s="187" t="s">
        <v>369</v>
      </c>
      <c r="I46" s="213" t="s">
        <v>448</v>
      </c>
      <c r="J46" s="211">
        <v>0.06</v>
      </c>
      <c r="L46" s="220" t="str">
        <f t="shared" si="5"/>
        <v>ok</v>
      </c>
      <c r="M46" s="220" t="str">
        <f t="shared" si="6"/>
        <v>ok</v>
      </c>
    </row>
    <row r="47" spans="2:13" x14ac:dyDescent="0.25">
      <c r="B47" s="203">
        <f t="shared" si="0"/>
        <v>42</v>
      </c>
      <c r="C47" s="186"/>
      <c r="D47" s="214" t="s">
        <v>291</v>
      </c>
      <c r="E47" s="210">
        <v>0.05</v>
      </c>
      <c r="F47" s="186"/>
      <c r="G47" s="187" t="s">
        <v>369</v>
      </c>
      <c r="I47" s="213" t="s">
        <v>291</v>
      </c>
      <c r="J47" s="211">
        <v>0.05</v>
      </c>
      <c r="L47" s="220" t="str">
        <f t="shared" si="5"/>
        <v>ok</v>
      </c>
      <c r="M47" s="220" t="str">
        <f t="shared" si="6"/>
        <v>ok</v>
      </c>
    </row>
    <row r="48" spans="2:13" x14ac:dyDescent="0.25">
      <c r="B48" s="203">
        <f t="shared" si="0"/>
        <v>43</v>
      </c>
      <c r="C48" s="186"/>
      <c r="D48" s="214" t="s">
        <v>217</v>
      </c>
      <c r="E48" s="210">
        <v>0.1</v>
      </c>
      <c r="F48" s="186"/>
      <c r="G48" s="187" t="s">
        <v>369</v>
      </c>
      <c r="I48" s="213" t="s">
        <v>217</v>
      </c>
      <c r="J48" s="211">
        <v>0.1</v>
      </c>
      <c r="L48" s="220" t="str">
        <f t="shared" si="5"/>
        <v>ok</v>
      </c>
      <c r="M48" s="220" t="str">
        <f t="shared" si="6"/>
        <v>ok</v>
      </c>
    </row>
    <row r="49" spans="2:13" x14ac:dyDescent="0.25">
      <c r="B49" s="203">
        <f t="shared" si="0"/>
        <v>44</v>
      </c>
      <c r="C49" s="186"/>
      <c r="D49" s="214" t="s">
        <v>334</v>
      </c>
      <c r="E49" s="210">
        <v>0.02</v>
      </c>
      <c r="F49" s="186"/>
      <c r="G49" s="187" t="s">
        <v>369</v>
      </c>
      <c r="I49" s="213" t="s">
        <v>334</v>
      </c>
      <c r="J49" s="211">
        <v>0.02</v>
      </c>
      <c r="L49" s="220" t="str">
        <f t="shared" si="5"/>
        <v>ok</v>
      </c>
      <c r="M49" s="220" t="str">
        <f t="shared" si="6"/>
        <v>ok</v>
      </c>
    </row>
    <row r="50" spans="2:13" x14ac:dyDescent="0.25">
      <c r="B50" s="203">
        <f t="shared" si="0"/>
        <v>45</v>
      </c>
      <c r="C50" s="186"/>
      <c r="D50" s="214" t="s">
        <v>178</v>
      </c>
      <c r="E50" s="210">
        <v>0.1</v>
      </c>
      <c r="F50" s="186"/>
      <c r="G50" s="187" t="s">
        <v>369</v>
      </c>
      <c r="I50" s="213" t="s">
        <v>178</v>
      </c>
      <c r="J50" s="211">
        <v>0.1</v>
      </c>
      <c r="L50" s="220" t="str">
        <f t="shared" si="5"/>
        <v>ok</v>
      </c>
      <c r="M50" s="220" t="str">
        <f t="shared" si="6"/>
        <v>ok</v>
      </c>
    </row>
    <row r="51" spans="2:13" x14ac:dyDescent="0.25">
      <c r="B51" s="203">
        <f t="shared" si="0"/>
        <v>46</v>
      </c>
      <c r="C51" s="186"/>
      <c r="D51" s="214" t="s">
        <v>301</v>
      </c>
      <c r="E51" s="210">
        <v>0.03</v>
      </c>
      <c r="F51" s="186"/>
      <c r="G51" s="187" t="s">
        <v>369</v>
      </c>
      <c r="I51" s="213" t="s">
        <v>301</v>
      </c>
      <c r="J51" s="211">
        <v>0.03</v>
      </c>
      <c r="L51" s="220" t="str">
        <f t="shared" si="5"/>
        <v>ok</v>
      </c>
      <c r="M51" s="220" t="str">
        <f t="shared" si="6"/>
        <v>ok</v>
      </c>
    </row>
    <row r="52" spans="2:13" x14ac:dyDescent="0.25">
      <c r="B52" s="203">
        <f t="shared" si="0"/>
        <v>47</v>
      </c>
      <c r="C52" s="186"/>
      <c r="D52" s="214" t="s">
        <v>266</v>
      </c>
      <c r="E52" s="210">
        <v>0.05</v>
      </c>
      <c r="F52" s="186"/>
      <c r="G52" s="187" t="s">
        <v>369</v>
      </c>
      <c r="I52" s="213" t="s">
        <v>266</v>
      </c>
      <c r="J52" s="211">
        <v>0.05</v>
      </c>
      <c r="L52" s="220" t="str">
        <f t="shared" si="5"/>
        <v>ok</v>
      </c>
      <c r="M52" s="220" t="str">
        <f t="shared" si="6"/>
        <v>ok</v>
      </c>
    </row>
    <row r="53" spans="2:13" x14ac:dyDescent="0.25">
      <c r="B53" s="203">
        <f t="shared" si="0"/>
        <v>48</v>
      </c>
      <c r="C53" s="186"/>
      <c r="D53" s="214" t="s">
        <v>191</v>
      </c>
      <c r="E53" s="210">
        <v>0.1</v>
      </c>
      <c r="F53" s="186"/>
      <c r="G53" s="187" t="s">
        <v>369</v>
      </c>
      <c r="I53" s="213" t="s">
        <v>191</v>
      </c>
      <c r="J53" s="211">
        <v>0.1</v>
      </c>
      <c r="L53" s="220" t="str">
        <f t="shared" si="5"/>
        <v>ok</v>
      </c>
      <c r="M53" s="220" t="str">
        <f t="shared" si="6"/>
        <v>ok</v>
      </c>
    </row>
    <row r="54" spans="2:13" x14ac:dyDescent="0.25">
      <c r="B54" s="203">
        <f t="shared" si="0"/>
        <v>49</v>
      </c>
      <c r="C54" s="186"/>
      <c r="D54" s="214" t="s">
        <v>193</v>
      </c>
      <c r="E54" s="210">
        <v>0.05</v>
      </c>
      <c r="F54" s="186"/>
      <c r="G54" s="187" t="s">
        <v>369</v>
      </c>
      <c r="I54" s="213" t="s">
        <v>193</v>
      </c>
      <c r="J54" s="211">
        <v>0.05</v>
      </c>
      <c r="L54" s="220" t="str">
        <f t="shared" si="5"/>
        <v>ok</v>
      </c>
      <c r="M54" s="220" t="str">
        <f t="shared" si="6"/>
        <v>ok</v>
      </c>
    </row>
    <row r="55" spans="2:13" x14ac:dyDescent="0.25">
      <c r="B55" s="203">
        <f t="shared" si="0"/>
        <v>50</v>
      </c>
      <c r="C55" s="186"/>
      <c r="D55" s="214" t="s">
        <v>212</v>
      </c>
      <c r="E55" s="210">
        <v>0.05</v>
      </c>
      <c r="F55" s="186"/>
      <c r="G55" s="187" t="s">
        <v>369</v>
      </c>
      <c r="I55" s="213" t="s">
        <v>212</v>
      </c>
      <c r="J55" s="211">
        <v>0.05</v>
      </c>
      <c r="L55" s="220" t="str">
        <f t="shared" si="5"/>
        <v>ok</v>
      </c>
      <c r="M55" s="220" t="str">
        <f t="shared" si="6"/>
        <v>ok</v>
      </c>
    </row>
    <row r="56" spans="2:13" x14ac:dyDescent="0.25">
      <c r="B56" s="203">
        <f t="shared" si="0"/>
        <v>51</v>
      </c>
      <c r="C56" s="186"/>
      <c r="D56" s="214" t="s">
        <v>365</v>
      </c>
      <c r="E56" s="211">
        <v>0</v>
      </c>
      <c r="F56" s="186"/>
      <c r="G56" s="187" t="s">
        <v>369</v>
      </c>
      <c r="I56" s="213" t="s">
        <v>365</v>
      </c>
      <c r="J56" s="211">
        <v>0</v>
      </c>
      <c r="L56" s="220" t="str">
        <f t="shared" si="5"/>
        <v>ok</v>
      </c>
      <c r="M56" s="220" t="str">
        <f t="shared" si="6"/>
        <v>ok</v>
      </c>
    </row>
    <row r="57" spans="2:13" x14ac:dyDescent="0.25">
      <c r="B57" s="203">
        <f t="shared" si="0"/>
        <v>52</v>
      </c>
      <c r="C57" s="186"/>
      <c r="D57" s="214" t="s">
        <v>186</v>
      </c>
      <c r="E57" s="211">
        <v>0.05</v>
      </c>
      <c r="F57" s="186"/>
      <c r="G57" s="187" t="s">
        <v>369</v>
      </c>
      <c r="I57" s="213" t="s">
        <v>186</v>
      </c>
      <c r="J57" s="211">
        <v>0.05</v>
      </c>
      <c r="L57" s="220" t="str">
        <f t="shared" si="5"/>
        <v>ok</v>
      </c>
      <c r="M57" s="220" t="str">
        <f t="shared" si="6"/>
        <v>ok</v>
      </c>
    </row>
    <row r="58" spans="2:13" x14ac:dyDescent="0.25">
      <c r="B58" s="203">
        <f t="shared" si="0"/>
        <v>53</v>
      </c>
      <c r="C58" s="186"/>
      <c r="D58" s="214" t="s">
        <v>240</v>
      </c>
      <c r="E58" s="210">
        <v>0.1</v>
      </c>
      <c r="F58" s="186"/>
      <c r="G58" s="187" t="s">
        <v>369</v>
      </c>
      <c r="I58" s="213" t="s">
        <v>240</v>
      </c>
      <c r="J58" s="211">
        <v>0.1</v>
      </c>
      <c r="L58" s="220" t="str">
        <f t="shared" si="5"/>
        <v>ok</v>
      </c>
      <c r="M58" s="220" t="str">
        <f t="shared" si="6"/>
        <v>ok</v>
      </c>
    </row>
    <row r="59" spans="2:13" x14ac:dyDescent="0.25">
      <c r="B59" s="203">
        <f t="shared" si="0"/>
        <v>54</v>
      </c>
      <c r="C59" s="186"/>
      <c r="D59" s="214" t="s">
        <v>424</v>
      </c>
      <c r="E59" s="210">
        <v>0.1</v>
      </c>
      <c r="F59" s="186"/>
      <c r="G59" s="187" t="s">
        <v>369</v>
      </c>
      <c r="I59" s="213" t="s">
        <v>424</v>
      </c>
      <c r="J59" s="211">
        <v>0.1</v>
      </c>
      <c r="L59" s="220" t="str">
        <f t="shared" si="5"/>
        <v>ok</v>
      </c>
      <c r="M59" s="220" t="str">
        <f t="shared" si="6"/>
        <v>ok</v>
      </c>
    </row>
    <row r="60" spans="2:13" x14ac:dyDescent="0.25">
      <c r="B60" s="203">
        <f t="shared" si="0"/>
        <v>55</v>
      </c>
      <c r="C60" s="186"/>
      <c r="D60" s="214" t="s">
        <v>241</v>
      </c>
      <c r="E60" s="210">
        <v>0.05</v>
      </c>
      <c r="F60" s="186"/>
      <c r="G60" s="187" t="s">
        <v>369</v>
      </c>
      <c r="I60" s="213" t="s">
        <v>241</v>
      </c>
      <c r="J60" s="211">
        <v>0.05</v>
      </c>
      <c r="L60" s="220" t="str">
        <f t="shared" si="5"/>
        <v>ok</v>
      </c>
      <c r="M60" s="220" t="str">
        <f t="shared" si="6"/>
        <v>ok</v>
      </c>
    </row>
    <row r="61" spans="2:13" x14ac:dyDescent="0.25">
      <c r="B61" s="203">
        <f t="shared" si="0"/>
        <v>56</v>
      </c>
      <c r="C61" s="186"/>
      <c r="D61" s="214" t="s">
        <v>436</v>
      </c>
      <c r="E61" s="210">
        <v>0.1</v>
      </c>
      <c r="F61" s="186"/>
      <c r="G61" s="187" t="s">
        <v>369</v>
      </c>
      <c r="I61" s="213" t="s">
        <v>436</v>
      </c>
      <c r="J61" s="211">
        <v>0.1</v>
      </c>
      <c r="L61" s="220" t="str">
        <f t="shared" si="5"/>
        <v>ok</v>
      </c>
      <c r="M61" s="220" t="str">
        <f t="shared" si="6"/>
        <v>ok</v>
      </c>
    </row>
    <row r="62" spans="2:13" x14ac:dyDescent="0.25">
      <c r="B62" s="203">
        <f t="shared" si="0"/>
        <v>57</v>
      </c>
      <c r="C62" s="186"/>
      <c r="D62" s="214" t="s">
        <v>218</v>
      </c>
      <c r="E62" s="210">
        <v>0.1</v>
      </c>
      <c r="F62" s="186"/>
      <c r="G62" s="187" t="s">
        <v>369</v>
      </c>
      <c r="I62" s="213" t="s">
        <v>218</v>
      </c>
      <c r="J62" s="211">
        <v>0.1</v>
      </c>
      <c r="L62" s="220" t="str">
        <f t="shared" si="5"/>
        <v>ok</v>
      </c>
      <c r="M62" s="220" t="str">
        <f t="shared" si="6"/>
        <v>ok</v>
      </c>
    </row>
    <row r="63" spans="2:13" x14ac:dyDescent="0.25">
      <c r="B63" s="203">
        <f t="shared" si="0"/>
        <v>58</v>
      </c>
      <c r="C63" s="186"/>
      <c r="D63" s="214" t="s">
        <v>194</v>
      </c>
      <c r="E63" s="210">
        <v>0.05</v>
      </c>
      <c r="F63" s="186"/>
      <c r="G63" s="187" t="s">
        <v>369</v>
      </c>
      <c r="I63" s="213" t="s">
        <v>194</v>
      </c>
      <c r="J63" s="211">
        <v>0.05</v>
      </c>
      <c r="L63" s="220" t="str">
        <f t="shared" si="5"/>
        <v>ok</v>
      </c>
      <c r="M63" s="220" t="str">
        <f t="shared" si="6"/>
        <v>ok</v>
      </c>
    </row>
    <row r="64" spans="2:13" x14ac:dyDescent="0.25">
      <c r="B64" s="203">
        <f t="shared" si="0"/>
        <v>59</v>
      </c>
      <c r="C64" s="186"/>
      <c r="D64" s="214" t="s">
        <v>187</v>
      </c>
      <c r="E64" s="210">
        <v>0.05</v>
      </c>
      <c r="F64" s="186"/>
      <c r="G64" s="187" t="s">
        <v>369</v>
      </c>
      <c r="I64" s="213" t="s">
        <v>187</v>
      </c>
      <c r="J64" s="211">
        <v>0.05</v>
      </c>
      <c r="L64" s="220" t="str">
        <f t="shared" si="5"/>
        <v>ok</v>
      </c>
      <c r="M64" s="220" t="str">
        <f t="shared" si="6"/>
        <v>ok</v>
      </c>
    </row>
    <row r="65" spans="2:13" x14ac:dyDescent="0.25">
      <c r="B65" s="203">
        <f t="shared" si="0"/>
        <v>60</v>
      </c>
      <c r="C65" s="186"/>
      <c r="D65" s="214" t="s">
        <v>316</v>
      </c>
      <c r="E65" s="210">
        <v>0.08</v>
      </c>
      <c r="F65" s="186"/>
      <c r="G65" s="187" t="s">
        <v>369</v>
      </c>
      <c r="I65" s="213" t="s">
        <v>316</v>
      </c>
      <c r="J65" s="211">
        <v>0.08</v>
      </c>
      <c r="L65" s="220" t="str">
        <f t="shared" si="5"/>
        <v>ok</v>
      </c>
      <c r="M65" s="220" t="str">
        <f t="shared" si="6"/>
        <v>ok</v>
      </c>
    </row>
    <row r="66" spans="2:13" x14ac:dyDescent="0.25">
      <c r="B66" s="203">
        <f t="shared" si="0"/>
        <v>61</v>
      </c>
      <c r="C66" s="186"/>
      <c r="D66" s="214" t="s">
        <v>449</v>
      </c>
      <c r="E66" s="210">
        <v>0.1</v>
      </c>
      <c r="F66" s="186"/>
      <c r="G66" s="187" t="s">
        <v>369</v>
      </c>
      <c r="I66" s="213" t="s">
        <v>449</v>
      </c>
      <c r="J66" s="211">
        <v>0.1</v>
      </c>
      <c r="L66" s="220" t="str">
        <f t="shared" si="5"/>
        <v>ok</v>
      </c>
      <c r="M66" s="220" t="str">
        <f t="shared" si="6"/>
        <v>ok</v>
      </c>
    </row>
    <row r="67" spans="2:13" x14ac:dyDescent="0.25">
      <c r="B67" s="203">
        <f t="shared" si="0"/>
        <v>62</v>
      </c>
      <c r="C67" s="186"/>
      <c r="D67" s="214" t="s">
        <v>165</v>
      </c>
      <c r="E67" s="210">
        <v>0.1</v>
      </c>
      <c r="F67" s="186"/>
      <c r="G67" s="187" t="s">
        <v>369</v>
      </c>
      <c r="I67" s="213" t="s">
        <v>165</v>
      </c>
      <c r="J67" s="211">
        <v>0.1</v>
      </c>
      <c r="L67" s="220" t="str">
        <f t="shared" ref="L67:L73" si="7">IF(D67=I67,"ok","RAZLIKA")</f>
        <v>ok</v>
      </c>
      <c r="M67" s="220" t="str">
        <f t="shared" ref="M67:M73" si="8">IF(E67=J67,"ok","RAZLIKA")</f>
        <v>ok</v>
      </c>
    </row>
    <row r="68" spans="2:13" x14ac:dyDescent="0.25">
      <c r="B68" s="203">
        <f t="shared" si="0"/>
        <v>63</v>
      </c>
      <c r="C68" s="186"/>
      <c r="D68" s="214" t="s">
        <v>229</v>
      </c>
      <c r="E68" s="210">
        <v>0.08</v>
      </c>
      <c r="F68" s="186"/>
      <c r="G68" s="187" t="s">
        <v>369</v>
      </c>
      <c r="I68" s="213" t="s">
        <v>229</v>
      </c>
      <c r="J68" s="211">
        <v>0.08</v>
      </c>
      <c r="L68" s="220" t="str">
        <f t="shared" si="7"/>
        <v>ok</v>
      </c>
      <c r="M68" s="220" t="str">
        <f t="shared" si="8"/>
        <v>ok</v>
      </c>
    </row>
    <row r="69" spans="2:13" x14ac:dyDescent="0.25">
      <c r="B69" s="203">
        <f t="shared" si="0"/>
        <v>64</v>
      </c>
      <c r="C69" s="186"/>
      <c r="D69" s="213" t="s">
        <v>647</v>
      </c>
      <c r="E69" s="211">
        <v>0.06</v>
      </c>
      <c r="F69" s="186"/>
      <c r="G69" s="187"/>
      <c r="I69" s="213" t="s">
        <v>647</v>
      </c>
      <c r="J69" s="211">
        <v>0.06</v>
      </c>
      <c r="L69" s="220" t="str">
        <f t="shared" si="7"/>
        <v>ok</v>
      </c>
      <c r="M69" s="220" t="str">
        <f t="shared" si="8"/>
        <v>ok</v>
      </c>
    </row>
    <row r="70" spans="2:13" x14ac:dyDescent="0.25">
      <c r="B70" s="203">
        <f t="shared" si="0"/>
        <v>65</v>
      </c>
      <c r="C70" s="186"/>
      <c r="D70" s="214" t="s">
        <v>203</v>
      </c>
      <c r="E70" s="210">
        <v>0.05</v>
      </c>
      <c r="F70" s="186"/>
      <c r="G70" s="187" t="s">
        <v>369</v>
      </c>
      <c r="I70" s="213" t="s">
        <v>203</v>
      </c>
      <c r="J70" s="211">
        <v>0.05</v>
      </c>
      <c r="L70" s="220" t="str">
        <f t="shared" si="7"/>
        <v>ok</v>
      </c>
      <c r="M70" s="220" t="str">
        <f t="shared" si="8"/>
        <v>ok</v>
      </c>
    </row>
    <row r="71" spans="2:13" x14ac:dyDescent="0.25">
      <c r="B71" s="203">
        <f t="shared" si="0"/>
        <v>66</v>
      </c>
      <c r="C71" s="186"/>
      <c r="D71" s="214" t="s">
        <v>247</v>
      </c>
      <c r="E71" s="211">
        <v>0.05</v>
      </c>
      <c r="F71" s="186"/>
      <c r="G71" s="187" t="s">
        <v>369</v>
      </c>
      <c r="I71" s="213" t="s">
        <v>247</v>
      </c>
      <c r="J71" s="211">
        <v>0.05</v>
      </c>
      <c r="L71" s="220" t="str">
        <f t="shared" si="7"/>
        <v>ok</v>
      </c>
      <c r="M71" s="220" t="str">
        <f t="shared" si="8"/>
        <v>ok</v>
      </c>
    </row>
    <row r="72" spans="2:13" x14ac:dyDescent="0.25">
      <c r="B72" s="203">
        <f t="shared" si="0"/>
        <v>67</v>
      </c>
      <c r="C72" s="186"/>
      <c r="D72" s="214" t="s">
        <v>223</v>
      </c>
      <c r="E72" s="210">
        <v>0.1</v>
      </c>
      <c r="F72" s="186"/>
      <c r="G72" s="187" t="s">
        <v>369</v>
      </c>
      <c r="I72" s="213" t="s">
        <v>223</v>
      </c>
      <c r="J72" s="211">
        <v>0.1</v>
      </c>
      <c r="L72" s="220" t="str">
        <f t="shared" si="7"/>
        <v>ok</v>
      </c>
      <c r="M72" s="220" t="str">
        <f t="shared" si="8"/>
        <v>ok</v>
      </c>
    </row>
    <row r="73" spans="2:13" x14ac:dyDescent="0.25">
      <c r="B73" s="203">
        <f t="shared" si="0"/>
        <v>68</v>
      </c>
      <c r="C73" s="186"/>
      <c r="D73" s="214" t="s">
        <v>242</v>
      </c>
      <c r="E73" s="210">
        <v>0.02</v>
      </c>
      <c r="F73" s="186"/>
      <c r="G73" s="187" t="s">
        <v>369</v>
      </c>
      <c r="I73" s="213" t="s">
        <v>242</v>
      </c>
      <c r="J73" s="211">
        <v>0.02</v>
      </c>
      <c r="L73" s="220" t="str">
        <f t="shared" si="7"/>
        <v>ok</v>
      </c>
      <c r="M73" s="220" t="str">
        <f t="shared" si="8"/>
        <v>ok</v>
      </c>
    </row>
    <row r="74" spans="2:13" x14ac:dyDescent="0.25">
      <c r="B74" s="203">
        <f t="shared" si="0"/>
        <v>69</v>
      </c>
      <c r="C74" s="186"/>
      <c r="D74" s="214" t="s">
        <v>292</v>
      </c>
      <c r="E74" s="210">
        <v>0.05</v>
      </c>
      <c r="F74" s="186"/>
      <c r="G74" s="187" t="s">
        <v>369</v>
      </c>
      <c r="I74" s="213" t="s">
        <v>292</v>
      </c>
      <c r="J74" s="211">
        <v>0.05</v>
      </c>
      <c r="L74" s="220" t="str">
        <f t="shared" ref="L74:L78" si="9">IF(D74=I74,"ok","RAZLIKA")</f>
        <v>ok</v>
      </c>
      <c r="M74" s="220" t="str">
        <f t="shared" ref="M74:M78" si="10">IF(E74=J74,"ok","RAZLIKA")</f>
        <v>ok</v>
      </c>
    </row>
    <row r="75" spans="2:13" x14ac:dyDescent="0.25">
      <c r="B75" s="203">
        <f t="shared" si="0"/>
        <v>70</v>
      </c>
      <c r="C75" s="186"/>
      <c r="D75" s="214" t="s">
        <v>260</v>
      </c>
      <c r="E75" s="210">
        <v>0.05</v>
      </c>
      <c r="F75" s="186"/>
      <c r="G75" s="187" t="s">
        <v>369</v>
      </c>
      <c r="I75" s="213" t="s">
        <v>260</v>
      </c>
      <c r="J75" s="211">
        <v>0.05</v>
      </c>
      <c r="L75" s="220" t="str">
        <f t="shared" si="9"/>
        <v>ok</v>
      </c>
      <c r="M75" s="220" t="str">
        <f t="shared" si="10"/>
        <v>ok</v>
      </c>
    </row>
    <row r="76" spans="2:13" x14ac:dyDescent="0.25">
      <c r="B76" s="203">
        <f t="shared" ref="B76:B139" si="11">B75+1</f>
        <v>71</v>
      </c>
      <c r="C76" s="186"/>
      <c r="D76" s="214" t="s">
        <v>132</v>
      </c>
      <c r="E76" s="210">
        <v>0.06</v>
      </c>
      <c r="F76" s="186"/>
      <c r="G76" s="187" t="s">
        <v>369</v>
      </c>
      <c r="I76" s="213" t="s">
        <v>132</v>
      </c>
      <c r="J76" s="211">
        <v>0.06</v>
      </c>
      <c r="L76" s="220" t="str">
        <f t="shared" si="9"/>
        <v>ok</v>
      </c>
      <c r="M76" s="220" t="str">
        <f t="shared" si="10"/>
        <v>ok</v>
      </c>
    </row>
    <row r="77" spans="2:13" x14ac:dyDescent="0.25">
      <c r="B77" s="203">
        <f t="shared" si="11"/>
        <v>72</v>
      </c>
      <c r="C77" s="186"/>
      <c r="D77" s="214" t="s">
        <v>140</v>
      </c>
      <c r="E77" s="210">
        <v>0.1</v>
      </c>
      <c r="F77" s="186"/>
      <c r="G77" s="187" t="s">
        <v>369</v>
      </c>
      <c r="I77" s="213" t="s">
        <v>140</v>
      </c>
      <c r="J77" s="211">
        <v>0.1</v>
      </c>
      <c r="L77" s="220" t="str">
        <f t="shared" si="9"/>
        <v>ok</v>
      </c>
      <c r="M77" s="220" t="str">
        <f t="shared" si="10"/>
        <v>ok</v>
      </c>
    </row>
    <row r="78" spans="2:13" x14ac:dyDescent="0.25">
      <c r="B78" s="203">
        <f t="shared" si="11"/>
        <v>73</v>
      </c>
      <c r="C78" s="186"/>
      <c r="D78" s="214" t="s">
        <v>602</v>
      </c>
      <c r="E78" s="210">
        <v>0.1</v>
      </c>
      <c r="F78" s="186"/>
      <c r="G78" s="187" t="s">
        <v>369</v>
      </c>
      <c r="I78" s="213" t="s">
        <v>602</v>
      </c>
      <c r="J78" s="211">
        <v>0.1</v>
      </c>
      <c r="L78" s="220" t="str">
        <f t="shared" si="9"/>
        <v>ok</v>
      </c>
      <c r="M78" s="220" t="str">
        <f t="shared" si="10"/>
        <v>ok</v>
      </c>
    </row>
    <row r="79" spans="2:13" x14ac:dyDescent="0.25">
      <c r="B79" s="203">
        <f t="shared" si="11"/>
        <v>74</v>
      </c>
      <c r="C79" s="186"/>
      <c r="D79" s="214" t="s">
        <v>354</v>
      </c>
      <c r="E79" s="210">
        <v>0.1</v>
      </c>
      <c r="F79" s="186"/>
      <c r="G79" s="187" t="s">
        <v>369</v>
      </c>
      <c r="I79" s="213" t="s">
        <v>354</v>
      </c>
      <c r="J79" s="211">
        <v>0.1</v>
      </c>
      <c r="L79" s="220" t="str">
        <f t="shared" ref="L79:L138" si="12">IF(D79=I79,"ok","RAZLIKA")</f>
        <v>ok</v>
      </c>
      <c r="M79" s="220" t="str">
        <f t="shared" ref="M79:M138" si="13">IF(E79=J79,"ok","RAZLIKA")</f>
        <v>ok</v>
      </c>
    </row>
    <row r="80" spans="2:13" x14ac:dyDescent="0.25">
      <c r="B80" s="203">
        <f t="shared" si="11"/>
        <v>75</v>
      </c>
      <c r="C80" s="186"/>
      <c r="D80" s="214" t="s">
        <v>156</v>
      </c>
      <c r="E80" s="210">
        <v>0.1</v>
      </c>
      <c r="F80" s="186"/>
      <c r="G80" s="187" t="s">
        <v>369</v>
      </c>
      <c r="I80" s="213" t="s">
        <v>156</v>
      </c>
      <c r="J80" s="211">
        <v>0.1</v>
      </c>
      <c r="L80" s="220" t="str">
        <f t="shared" si="12"/>
        <v>ok</v>
      </c>
      <c r="M80" s="220" t="str">
        <f t="shared" si="13"/>
        <v>ok</v>
      </c>
    </row>
    <row r="81" spans="2:13" x14ac:dyDescent="0.25">
      <c r="B81" s="203">
        <f t="shared" si="11"/>
        <v>76</v>
      </c>
      <c r="C81" s="186"/>
      <c r="D81" s="214" t="s">
        <v>117</v>
      </c>
      <c r="E81" s="210">
        <v>0.09</v>
      </c>
      <c r="F81" s="186"/>
      <c r="G81" s="187" t="s">
        <v>369</v>
      </c>
      <c r="I81" s="213" t="s">
        <v>117</v>
      </c>
      <c r="J81" s="211">
        <v>0.09</v>
      </c>
      <c r="L81" s="220" t="str">
        <f t="shared" si="12"/>
        <v>ok</v>
      </c>
      <c r="M81" s="220" t="str">
        <f t="shared" si="13"/>
        <v>ok</v>
      </c>
    </row>
    <row r="82" spans="2:13" x14ac:dyDescent="0.25">
      <c r="B82" s="203">
        <f t="shared" si="11"/>
        <v>77</v>
      </c>
      <c r="C82" s="186"/>
      <c r="D82" s="214" t="s">
        <v>320</v>
      </c>
      <c r="E82" s="211">
        <v>0</v>
      </c>
      <c r="F82" s="186"/>
      <c r="G82" s="187" t="s">
        <v>369</v>
      </c>
      <c r="I82" s="213" t="s">
        <v>320</v>
      </c>
      <c r="J82" s="211">
        <v>0</v>
      </c>
      <c r="L82" s="220" t="str">
        <f t="shared" si="12"/>
        <v>ok</v>
      </c>
      <c r="M82" s="220" t="str">
        <f t="shared" si="13"/>
        <v>ok</v>
      </c>
    </row>
    <row r="83" spans="2:13" x14ac:dyDescent="0.25">
      <c r="B83" s="203">
        <f t="shared" si="11"/>
        <v>78</v>
      </c>
      <c r="C83" s="186"/>
      <c r="D83" s="213" t="s">
        <v>648</v>
      </c>
      <c r="E83" s="211">
        <v>0.05</v>
      </c>
      <c r="F83" s="186"/>
      <c r="G83" s="187"/>
      <c r="I83" s="213" t="s">
        <v>648</v>
      </c>
      <c r="J83" s="211">
        <v>0.05</v>
      </c>
      <c r="L83" s="220" t="str">
        <f t="shared" si="12"/>
        <v>ok</v>
      </c>
      <c r="M83" s="220" t="str">
        <f t="shared" si="13"/>
        <v>ok</v>
      </c>
    </row>
    <row r="84" spans="2:13" x14ac:dyDescent="0.25">
      <c r="B84" s="203">
        <f t="shared" si="11"/>
        <v>79</v>
      </c>
      <c r="C84" s="186"/>
      <c r="D84" s="214" t="s">
        <v>250</v>
      </c>
      <c r="E84" s="210">
        <v>0.1</v>
      </c>
      <c r="F84" s="186"/>
      <c r="G84" s="187" t="s">
        <v>369</v>
      </c>
      <c r="I84" s="213" t="s">
        <v>250</v>
      </c>
      <c r="J84" s="211">
        <v>0.1</v>
      </c>
      <c r="L84" s="220" t="str">
        <f t="shared" si="12"/>
        <v>ok</v>
      </c>
      <c r="M84" s="220" t="str">
        <f t="shared" si="13"/>
        <v>ok</v>
      </c>
    </row>
    <row r="85" spans="2:13" x14ac:dyDescent="0.25">
      <c r="B85" s="203">
        <f t="shared" si="11"/>
        <v>80</v>
      </c>
      <c r="C85" s="186"/>
      <c r="D85" s="214" t="s">
        <v>253</v>
      </c>
      <c r="E85" s="210">
        <v>0.1</v>
      </c>
      <c r="F85" s="186"/>
      <c r="G85" s="187" t="s">
        <v>369</v>
      </c>
      <c r="I85" s="213" t="s">
        <v>253</v>
      </c>
      <c r="J85" s="211">
        <v>0.1</v>
      </c>
      <c r="L85" s="220" t="str">
        <f t="shared" si="12"/>
        <v>ok</v>
      </c>
      <c r="M85" s="220" t="str">
        <f t="shared" si="13"/>
        <v>ok</v>
      </c>
    </row>
    <row r="86" spans="2:13" x14ac:dyDescent="0.25">
      <c r="B86" s="203">
        <f t="shared" si="11"/>
        <v>81</v>
      </c>
      <c r="C86" s="186"/>
      <c r="D86" s="214" t="s">
        <v>599</v>
      </c>
      <c r="E86" s="210">
        <v>0</v>
      </c>
      <c r="F86" s="186"/>
      <c r="G86" s="187" t="s">
        <v>369</v>
      </c>
      <c r="I86" s="213" t="s">
        <v>599</v>
      </c>
      <c r="J86" s="211">
        <v>0</v>
      </c>
      <c r="L86" s="220" t="str">
        <f t="shared" si="12"/>
        <v>ok</v>
      </c>
      <c r="M86" s="220" t="str">
        <f t="shared" si="13"/>
        <v>ok</v>
      </c>
    </row>
    <row r="87" spans="2:13" x14ac:dyDescent="0.25">
      <c r="B87" s="203">
        <f t="shared" si="11"/>
        <v>82</v>
      </c>
      <c r="C87" s="186"/>
      <c r="D87" s="214" t="s">
        <v>255</v>
      </c>
      <c r="E87" s="210">
        <v>0.05</v>
      </c>
      <c r="F87" s="186"/>
      <c r="G87" s="187" t="s">
        <v>369</v>
      </c>
      <c r="I87" s="213" t="s">
        <v>255</v>
      </c>
      <c r="J87" s="211">
        <v>0.05</v>
      </c>
      <c r="L87" s="220" t="str">
        <f t="shared" si="12"/>
        <v>ok</v>
      </c>
      <c r="M87" s="220" t="str">
        <f t="shared" si="13"/>
        <v>ok</v>
      </c>
    </row>
    <row r="88" spans="2:13" x14ac:dyDescent="0.25">
      <c r="B88" s="203">
        <f t="shared" si="11"/>
        <v>83</v>
      </c>
      <c r="C88" s="186"/>
      <c r="D88" s="214" t="s">
        <v>580</v>
      </c>
      <c r="E88" s="210">
        <v>0.1</v>
      </c>
      <c r="F88" s="186"/>
      <c r="G88" s="187" t="s">
        <v>369</v>
      </c>
      <c r="I88" s="213" t="s">
        <v>580</v>
      </c>
      <c r="J88" s="211">
        <v>0.1</v>
      </c>
      <c r="L88" s="220" t="str">
        <f t="shared" si="12"/>
        <v>ok</v>
      </c>
      <c r="M88" s="220" t="str">
        <f t="shared" si="13"/>
        <v>ok</v>
      </c>
    </row>
    <row r="89" spans="2:13" x14ac:dyDescent="0.25">
      <c r="B89" s="203">
        <f t="shared" si="11"/>
        <v>84</v>
      </c>
      <c r="C89" s="186"/>
      <c r="D89" s="214" t="s">
        <v>267</v>
      </c>
      <c r="E89" s="210">
        <v>0.03</v>
      </c>
      <c r="F89" s="186"/>
      <c r="G89" s="187" t="s">
        <v>369</v>
      </c>
      <c r="I89" s="213" t="s">
        <v>267</v>
      </c>
      <c r="J89" s="211">
        <v>0.03</v>
      </c>
      <c r="L89" s="220" t="str">
        <f t="shared" si="12"/>
        <v>ok</v>
      </c>
      <c r="M89" s="220" t="str">
        <f t="shared" si="13"/>
        <v>ok</v>
      </c>
    </row>
    <row r="90" spans="2:13" x14ac:dyDescent="0.25">
      <c r="B90" s="203">
        <f t="shared" si="11"/>
        <v>85</v>
      </c>
      <c r="C90" s="186"/>
      <c r="D90" s="214" t="s">
        <v>133</v>
      </c>
      <c r="E90" s="210">
        <v>0.03</v>
      </c>
      <c r="F90" s="186"/>
      <c r="G90" s="187" t="s">
        <v>369</v>
      </c>
      <c r="I90" s="213" t="s">
        <v>133</v>
      </c>
      <c r="J90" s="211">
        <v>0.03</v>
      </c>
      <c r="L90" s="220" t="str">
        <f t="shared" si="12"/>
        <v>ok</v>
      </c>
      <c r="M90" s="220" t="str">
        <f t="shared" si="13"/>
        <v>ok</v>
      </c>
    </row>
    <row r="91" spans="2:13" x14ac:dyDescent="0.25">
      <c r="B91" s="203">
        <f t="shared" si="11"/>
        <v>86</v>
      </c>
      <c r="C91" s="186"/>
      <c r="D91" s="214" t="s">
        <v>345</v>
      </c>
      <c r="E91" s="210">
        <v>0.03</v>
      </c>
      <c r="F91" s="186"/>
      <c r="G91" s="187" t="s">
        <v>369</v>
      </c>
      <c r="I91" s="213" t="s">
        <v>345</v>
      </c>
      <c r="J91" s="211">
        <v>0.03</v>
      </c>
      <c r="L91" s="220" t="str">
        <f t="shared" si="12"/>
        <v>ok</v>
      </c>
      <c r="M91" s="220" t="str">
        <f t="shared" si="13"/>
        <v>ok</v>
      </c>
    </row>
    <row r="92" spans="2:13" x14ac:dyDescent="0.25">
      <c r="B92" s="203">
        <f t="shared" si="11"/>
        <v>87</v>
      </c>
      <c r="C92" s="186"/>
      <c r="D92" s="214" t="s">
        <v>252</v>
      </c>
      <c r="E92" s="210">
        <v>0.1</v>
      </c>
      <c r="F92" s="186"/>
      <c r="G92" s="187" t="s">
        <v>369</v>
      </c>
      <c r="I92" s="213" t="s">
        <v>252</v>
      </c>
      <c r="J92" s="211">
        <v>0.1</v>
      </c>
      <c r="L92" s="220" t="str">
        <f t="shared" si="12"/>
        <v>ok</v>
      </c>
      <c r="M92" s="220" t="str">
        <f t="shared" si="13"/>
        <v>ok</v>
      </c>
    </row>
    <row r="93" spans="2:13" x14ac:dyDescent="0.25">
      <c r="B93" s="203">
        <f t="shared" si="11"/>
        <v>88</v>
      </c>
      <c r="C93" s="186"/>
      <c r="D93" s="214" t="s">
        <v>195</v>
      </c>
      <c r="E93" s="210">
        <v>0.05</v>
      </c>
      <c r="F93" s="186"/>
      <c r="G93" s="187" t="s">
        <v>369</v>
      </c>
      <c r="I93" s="213" t="s">
        <v>195</v>
      </c>
      <c r="J93" s="211">
        <v>0.05</v>
      </c>
      <c r="L93" s="220" t="str">
        <f t="shared" si="12"/>
        <v>ok</v>
      </c>
      <c r="M93" s="220" t="str">
        <f t="shared" si="13"/>
        <v>ok</v>
      </c>
    </row>
    <row r="94" spans="2:13" x14ac:dyDescent="0.25">
      <c r="B94" s="203">
        <f t="shared" si="11"/>
        <v>89</v>
      </c>
      <c r="C94" s="186"/>
      <c r="D94" s="214" t="s">
        <v>230</v>
      </c>
      <c r="E94" s="210">
        <v>0.1</v>
      </c>
      <c r="F94" s="186"/>
      <c r="G94" s="187" t="s">
        <v>369</v>
      </c>
      <c r="I94" s="213" t="s">
        <v>230</v>
      </c>
      <c r="J94" s="211">
        <v>0.1</v>
      </c>
      <c r="L94" s="220" t="str">
        <f t="shared" si="12"/>
        <v>ok</v>
      </c>
      <c r="M94" s="220" t="str">
        <f t="shared" si="13"/>
        <v>ok</v>
      </c>
    </row>
    <row r="95" spans="2:13" x14ac:dyDescent="0.25">
      <c r="B95" s="203">
        <f t="shared" si="11"/>
        <v>90</v>
      </c>
      <c r="C95" s="186"/>
      <c r="D95" s="214" t="s">
        <v>189</v>
      </c>
      <c r="E95" s="210">
        <v>0.1</v>
      </c>
      <c r="F95" s="186"/>
      <c r="G95" s="187" t="s">
        <v>369</v>
      </c>
      <c r="I95" s="213" t="s">
        <v>189</v>
      </c>
      <c r="J95" s="211">
        <v>0.1</v>
      </c>
      <c r="L95" s="220" t="str">
        <f t="shared" si="12"/>
        <v>ok</v>
      </c>
      <c r="M95" s="220" t="str">
        <f t="shared" si="13"/>
        <v>ok</v>
      </c>
    </row>
    <row r="96" spans="2:13" x14ac:dyDescent="0.25">
      <c r="B96" s="203">
        <f t="shared" si="11"/>
        <v>91</v>
      </c>
      <c r="C96" s="186"/>
      <c r="D96" s="214" t="s">
        <v>224</v>
      </c>
      <c r="E96" s="210">
        <v>0.05</v>
      </c>
      <c r="F96" s="186"/>
      <c r="G96" s="187" t="s">
        <v>369</v>
      </c>
      <c r="I96" s="213" t="s">
        <v>224</v>
      </c>
      <c r="J96" s="211">
        <v>0.05</v>
      </c>
      <c r="L96" s="220" t="str">
        <f t="shared" si="12"/>
        <v>ok</v>
      </c>
      <c r="M96" s="220" t="str">
        <f t="shared" si="13"/>
        <v>ok</v>
      </c>
    </row>
    <row r="97" spans="2:13" x14ac:dyDescent="0.25">
      <c r="B97" s="203">
        <f t="shared" si="11"/>
        <v>92</v>
      </c>
      <c r="C97" s="186"/>
      <c r="D97" s="214" t="s">
        <v>581</v>
      </c>
      <c r="E97" s="210">
        <v>0.1</v>
      </c>
      <c r="F97" s="186"/>
      <c r="G97" s="187" t="s">
        <v>369</v>
      </c>
      <c r="I97" s="213" t="s">
        <v>581</v>
      </c>
      <c r="J97" s="211">
        <v>0.1</v>
      </c>
      <c r="L97" s="220" t="str">
        <f t="shared" si="12"/>
        <v>ok</v>
      </c>
      <c r="M97" s="220" t="str">
        <f t="shared" si="13"/>
        <v>ok</v>
      </c>
    </row>
    <row r="98" spans="2:13" x14ac:dyDescent="0.25">
      <c r="B98" s="203">
        <f t="shared" si="11"/>
        <v>93</v>
      </c>
      <c r="C98" s="186"/>
      <c r="D98" s="214" t="s">
        <v>423</v>
      </c>
      <c r="E98" s="210">
        <v>0.1</v>
      </c>
      <c r="F98" s="186"/>
      <c r="G98" s="187" t="s">
        <v>369</v>
      </c>
      <c r="I98" s="213" t="s">
        <v>423</v>
      </c>
      <c r="J98" s="211">
        <v>0.1</v>
      </c>
      <c r="L98" s="220" t="str">
        <f t="shared" si="12"/>
        <v>ok</v>
      </c>
      <c r="M98" s="220" t="str">
        <f t="shared" si="13"/>
        <v>ok</v>
      </c>
    </row>
    <row r="99" spans="2:13" x14ac:dyDescent="0.25">
      <c r="B99" s="203">
        <f t="shared" si="11"/>
        <v>94</v>
      </c>
      <c r="C99" s="186"/>
      <c r="D99" s="214" t="s">
        <v>237</v>
      </c>
      <c r="E99" s="210">
        <v>7.0000000000000007E-2</v>
      </c>
      <c r="F99" s="186"/>
      <c r="G99" s="187" t="s">
        <v>369</v>
      </c>
      <c r="I99" s="213" t="s">
        <v>237</v>
      </c>
      <c r="J99" s="211">
        <v>7.0000000000000007E-2</v>
      </c>
      <c r="L99" s="220" t="str">
        <f t="shared" si="12"/>
        <v>ok</v>
      </c>
      <c r="M99" s="220" t="str">
        <f t="shared" si="13"/>
        <v>ok</v>
      </c>
    </row>
    <row r="100" spans="2:13" x14ac:dyDescent="0.25">
      <c r="B100" s="203">
        <f t="shared" si="11"/>
        <v>95</v>
      </c>
      <c r="C100" s="186"/>
      <c r="D100" s="214" t="s">
        <v>335</v>
      </c>
      <c r="E100" s="210">
        <v>0.05</v>
      </c>
      <c r="F100" s="186"/>
      <c r="G100" s="187" t="s">
        <v>369</v>
      </c>
      <c r="I100" s="213" t="s">
        <v>335</v>
      </c>
      <c r="J100" s="211">
        <v>0.05</v>
      </c>
      <c r="L100" s="220" t="str">
        <f t="shared" ref="L100:L110" si="14">IF(D100=I100,"ok","RAZLIKA")</f>
        <v>ok</v>
      </c>
      <c r="M100" s="220" t="str">
        <f t="shared" ref="M100:M110" si="15">IF(E100=J100,"ok","RAZLIKA")</f>
        <v>ok</v>
      </c>
    </row>
    <row r="101" spans="2:13" x14ac:dyDescent="0.25">
      <c r="B101" s="203">
        <f t="shared" si="11"/>
        <v>96</v>
      </c>
      <c r="C101" s="186"/>
      <c r="D101" s="214" t="s">
        <v>134</v>
      </c>
      <c r="E101" s="210">
        <v>0.05</v>
      </c>
      <c r="F101" s="186"/>
      <c r="G101" s="187" t="s">
        <v>369</v>
      </c>
      <c r="I101" s="214" t="s">
        <v>134</v>
      </c>
      <c r="J101" s="211">
        <v>0.05</v>
      </c>
      <c r="L101" s="220" t="str">
        <f t="shared" si="14"/>
        <v>ok</v>
      </c>
      <c r="M101" s="220" t="str">
        <f t="shared" si="15"/>
        <v>ok</v>
      </c>
    </row>
    <row r="102" spans="2:13" x14ac:dyDescent="0.25">
      <c r="B102" s="203">
        <f t="shared" si="11"/>
        <v>97</v>
      </c>
      <c r="C102" s="186"/>
      <c r="D102" s="214" t="s">
        <v>190</v>
      </c>
      <c r="E102" s="211">
        <v>0.05</v>
      </c>
      <c r="F102" s="186"/>
      <c r="G102" s="187" t="s">
        <v>369</v>
      </c>
      <c r="I102" s="213" t="s">
        <v>190</v>
      </c>
      <c r="J102" s="211">
        <v>0.05</v>
      </c>
      <c r="L102" s="220" t="str">
        <f t="shared" si="14"/>
        <v>ok</v>
      </c>
      <c r="M102" s="220" t="str">
        <f t="shared" si="15"/>
        <v>ok</v>
      </c>
    </row>
    <row r="103" spans="2:13" x14ac:dyDescent="0.25">
      <c r="B103" s="203">
        <f t="shared" si="11"/>
        <v>98</v>
      </c>
      <c r="C103" s="186"/>
      <c r="D103" s="214" t="s">
        <v>582</v>
      </c>
      <c r="E103" s="210">
        <v>0.05</v>
      </c>
      <c r="F103" s="186"/>
      <c r="G103" s="187" t="s">
        <v>369</v>
      </c>
      <c r="I103" s="213" t="s">
        <v>582</v>
      </c>
      <c r="J103" s="211">
        <v>0.05</v>
      </c>
      <c r="L103" s="220" t="str">
        <f t="shared" si="14"/>
        <v>ok</v>
      </c>
      <c r="M103" s="220" t="str">
        <f t="shared" si="15"/>
        <v>ok</v>
      </c>
    </row>
    <row r="104" spans="2:13" x14ac:dyDescent="0.25">
      <c r="B104" s="203">
        <f t="shared" si="11"/>
        <v>99</v>
      </c>
      <c r="C104" s="186"/>
      <c r="D104" s="214" t="s">
        <v>411</v>
      </c>
      <c r="E104" s="210">
        <v>0.05</v>
      </c>
      <c r="F104" s="186"/>
      <c r="G104" s="187" t="s">
        <v>369</v>
      </c>
      <c r="I104" s="213" t="s">
        <v>411</v>
      </c>
      <c r="J104" s="211">
        <v>0.05</v>
      </c>
      <c r="L104" s="220" t="str">
        <f t="shared" si="14"/>
        <v>ok</v>
      </c>
      <c r="M104" s="220" t="str">
        <f t="shared" si="15"/>
        <v>ok</v>
      </c>
    </row>
    <row r="105" spans="2:13" x14ac:dyDescent="0.25">
      <c r="B105" s="203">
        <f t="shared" si="11"/>
        <v>100</v>
      </c>
      <c r="C105" s="186"/>
      <c r="D105" s="213" t="s">
        <v>317</v>
      </c>
      <c r="E105" s="211">
        <v>0.1</v>
      </c>
      <c r="F105" s="186"/>
      <c r="G105" s="187" t="s">
        <v>369</v>
      </c>
      <c r="I105" s="213" t="s">
        <v>317</v>
      </c>
      <c r="J105" s="211">
        <v>0.1</v>
      </c>
      <c r="L105" s="220" t="str">
        <f t="shared" si="14"/>
        <v>ok</v>
      </c>
      <c r="M105" s="220" t="str">
        <f t="shared" si="15"/>
        <v>ok</v>
      </c>
    </row>
    <row r="106" spans="2:13" x14ac:dyDescent="0.25">
      <c r="B106" s="203">
        <f t="shared" si="11"/>
        <v>101</v>
      </c>
      <c r="C106" s="186"/>
      <c r="D106" s="213" t="s">
        <v>456</v>
      </c>
      <c r="E106" s="211">
        <v>0.03</v>
      </c>
      <c r="F106" s="186"/>
      <c r="G106" s="187" t="s">
        <v>369</v>
      </c>
      <c r="I106" s="213" t="s">
        <v>456</v>
      </c>
      <c r="J106" s="211">
        <v>0.03</v>
      </c>
      <c r="L106" s="220" t="str">
        <f t="shared" si="14"/>
        <v>ok</v>
      </c>
      <c r="M106" s="220" t="str">
        <f t="shared" si="15"/>
        <v>ok</v>
      </c>
    </row>
    <row r="107" spans="2:13" x14ac:dyDescent="0.25">
      <c r="B107" s="203">
        <f t="shared" si="11"/>
        <v>102</v>
      </c>
      <c r="C107" s="186"/>
      <c r="D107" s="213" t="s">
        <v>150</v>
      </c>
      <c r="E107" s="211">
        <v>0.06</v>
      </c>
      <c r="F107" s="186"/>
      <c r="G107" s="187" t="s">
        <v>369</v>
      </c>
      <c r="I107" s="213" t="s">
        <v>150</v>
      </c>
      <c r="J107" s="211">
        <v>0.06</v>
      </c>
      <c r="L107" s="220" t="str">
        <f t="shared" si="14"/>
        <v>ok</v>
      </c>
      <c r="M107" s="220" t="str">
        <f t="shared" si="15"/>
        <v>ok</v>
      </c>
    </row>
    <row r="108" spans="2:13" x14ac:dyDescent="0.25">
      <c r="B108" s="203">
        <f t="shared" si="11"/>
        <v>103</v>
      </c>
      <c r="C108" s="186"/>
      <c r="D108" s="214" t="s">
        <v>288</v>
      </c>
      <c r="E108" s="210">
        <v>0</v>
      </c>
      <c r="F108" s="186"/>
      <c r="G108" s="187" t="s">
        <v>369</v>
      </c>
      <c r="I108" s="213" t="s">
        <v>288</v>
      </c>
      <c r="J108" s="211">
        <v>0</v>
      </c>
      <c r="L108" s="220" t="str">
        <f t="shared" si="14"/>
        <v>ok</v>
      </c>
      <c r="M108" s="220" t="str">
        <f t="shared" si="15"/>
        <v>ok</v>
      </c>
    </row>
    <row r="109" spans="2:13" x14ac:dyDescent="0.25">
      <c r="B109" s="203">
        <f t="shared" si="11"/>
        <v>104</v>
      </c>
      <c r="C109" s="186"/>
      <c r="D109" s="214" t="s">
        <v>300</v>
      </c>
      <c r="E109" s="211">
        <v>0.06</v>
      </c>
      <c r="F109" s="186"/>
      <c r="G109" s="187" t="s">
        <v>369</v>
      </c>
      <c r="I109" s="213" t="s">
        <v>300</v>
      </c>
      <c r="J109" s="211">
        <v>0.06</v>
      </c>
      <c r="L109" s="220" t="str">
        <f t="shared" si="14"/>
        <v>ok</v>
      </c>
      <c r="M109" s="220" t="str">
        <f t="shared" si="15"/>
        <v>ok</v>
      </c>
    </row>
    <row r="110" spans="2:13" x14ac:dyDescent="0.25">
      <c r="B110" s="203">
        <f t="shared" si="11"/>
        <v>105</v>
      </c>
      <c r="C110" s="186"/>
      <c r="D110" s="214" t="s">
        <v>163</v>
      </c>
      <c r="E110" s="210">
        <v>0.1</v>
      </c>
      <c r="F110" s="186"/>
      <c r="G110" s="187" t="s">
        <v>369</v>
      </c>
      <c r="I110" s="213" t="s">
        <v>163</v>
      </c>
      <c r="J110" s="211">
        <v>0.1</v>
      </c>
      <c r="L110" s="220" t="str">
        <f t="shared" si="14"/>
        <v>ok</v>
      </c>
      <c r="M110" s="220" t="str">
        <f t="shared" si="15"/>
        <v>ok</v>
      </c>
    </row>
    <row r="111" spans="2:13" x14ac:dyDescent="0.25">
      <c r="B111" s="203">
        <f t="shared" si="11"/>
        <v>106</v>
      </c>
      <c r="C111" s="186"/>
      <c r="D111" s="214" t="s">
        <v>120</v>
      </c>
      <c r="E111" s="210">
        <v>0.06</v>
      </c>
      <c r="F111" s="186"/>
      <c r="G111" s="187" t="s">
        <v>369</v>
      </c>
      <c r="I111" s="213" t="s">
        <v>120</v>
      </c>
      <c r="J111" s="211">
        <v>0.06</v>
      </c>
      <c r="L111" s="220" t="str">
        <f t="shared" si="12"/>
        <v>ok</v>
      </c>
      <c r="M111" s="220" t="str">
        <f t="shared" si="13"/>
        <v>ok</v>
      </c>
    </row>
    <row r="112" spans="2:13" x14ac:dyDescent="0.25">
      <c r="B112" s="203">
        <f t="shared" si="11"/>
        <v>107</v>
      </c>
      <c r="C112" s="186"/>
      <c r="D112" s="214" t="s">
        <v>280</v>
      </c>
      <c r="E112" s="210">
        <v>0.1</v>
      </c>
      <c r="F112" s="186"/>
      <c r="G112" s="187" t="s">
        <v>369</v>
      </c>
      <c r="I112" s="213" t="s">
        <v>280</v>
      </c>
      <c r="J112" s="211">
        <v>0.1</v>
      </c>
      <c r="L112" s="220" t="str">
        <f t="shared" si="12"/>
        <v>ok</v>
      </c>
      <c r="M112" s="220" t="str">
        <f t="shared" si="13"/>
        <v>ok</v>
      </c>
    </row>
    <row r="113" spans="2:13" x14ac:dyDescent="0.25">
      <c r="B113" s="203">
        <f t="shared" si="11"/>
        <v>108</v>
      </c>
      <c r="C113" s="186"/>
      <c r="D113" s="214" t="s">
        <v>243</v>
      </c>
      <c r="E113" s="210">
        <v>0.03</v>
      </c>
      <c r="F113" s="186"/>
      <c r="G113" s="187" t="s">
        <v>369</v>
      </c>
      <c r="I113" s="213" t="s">
        <v>243</v>
      </c>
      <c r="J113" s="211">
        <v>0.03</v>
      </c>
      <c r="L113" s="220" t="str">
        <f t="shared" si="12"/>
        <v>ok</v>
      </c>
      <c r="M113" s="220" t="str">
        <f t="shared" si="13"/>
        <v>ok</v>
      </c>
    </row>
    <row r="114" spans="2:13" x14ac:dyDescent="0.25">
      <c r="B114" s="203">
        <f t="shared" si="11"/>
        <v>109</v>
      </c>
      <c r="C114" s="186"/>
      <c r="D114" s="214" t="s">
        <v>141</v>
      </c>
      <c r="E114" s="210">
        <v>0.05</v>
      </c>
      <c r="F114" s="186"/>
      <c r="G114" s="187" t="s">
        <v>369</v>
      </c>
      <c r="I114" s="213" t="s">
        <v>141</v>
      </c>
      <c r="J114" s="211">
        <v>0.05</v>
      </c>
      <c r="L114" s="220" t="str">
        <f t="shared" si="12"/>
        <v>ok</v>
      </c>
      <c r="M114" s="220" t="str">
        <f t="shared" si="13"/>
        <v>ok</v>
      </c>
    </row>
    <row r="115" spans="2:13" x14ac:dyDescent="0.25">
      <c r="B115" s="203">
        <f t="shared" si="11"/>
        <v>110</v>
      </c>
      <c r="C115" s="186"/>
      <c r="D115" s="214" t="s">
        <v>213</v>
      </c>
      <c r="E115" s="210">
        <v>0.05</v>
      </c>
      <c r="F115" s="186"/>
      <c r="G115" s="187" t="s">
        <v>369</v>
      </c>
      <c r="I115" s="213" t="s">
        <v>213</v>
      </c>
      <c r="J115" s="211">
        <v>0.05</v>
      </c>
      <c r="L115" s="220" t="str">
        <f t="shared" si="12"/>
        <v>ok</v>
      </c>
      <c r="M115" s="220" t="str">
        <f t="shared" si="13"/>
        <v>ok</v>
      </c>
    </row>
    <row r="116" spans="2:13" x14ac:dyDescent="0.25">
      <c r="B116" s="203">
        <f t="shared" si="11"/>
        <v>111</v>
      </c>
      <c r="C116" s="186"/>
      <c r="D116" s="214" t="s">
        <v>123</v>
      </c>
      <c r="E116" s="210">
        <v>0.09</v>
      </c>
      <c r="F116" s="186"/>
      <c r="G116" s="187" t="s">
        <v>369</v>
      </c>
      <c r="I116" s="213" t="s">
        <v>123</v>
      </c>
      <c r="J116" s="211">
        <v>0.09</v>
      </c>
      <c r="L116" s="220" t="str">
        <f t="shared" si="12"/>
        <v>ok</v>
      </c>
      <c r="M116" s="220" t="str">
        <f t="shared" si="13"/>
        <v>ok</v>
      </c>
    </row>
    <row r="117" spans="2:13" x14ac:dyDescent="0.25">
      <c r="B117" s="203">
        <f t="shared" si="11"/>
        <v>112</v>
      </c>
      <c r="C117" s="186"/>
      <c r="D117" s="214" t="s">
        <v>299</v>
      </c>
      <c r="E117" s="210">
        <v>0.1</v>
      </c>
      <c r="F117" s="186"/>
      <c r="G117" s="187" t="s">
        <v>369</v>
      </c>
      <c r="I117" s="213" t="s">
        <v>299</v>
      </c>
      <c r="J117" s="211">
        <v>0.1</v>
      </c>
      <c r="L117" s="220" t="str">
        <f t="shared" si="12"/>
        <v>ok</v>
      </c>
      <c r="M117" s="220" t="str">
        <f t="shared" si="13"/>
        <v>ok</v>
      </c>
    </row>
    <row r="118" spans="2:13" x14ac:dyDescent="0.25">
      <c r="B118" s="203">
        <f t="shared" si="11"/>
        <v>113</v>
      </c>
      <c r="C118" s="186"/>
      <c r="D118" s="214" t="s">
        <v>412</v>
      </c>
      <c r="E118" s="210">
        <v>0.1</v>
      </c>
      <c r="F118" s="186"/>
      <c r="G118" s="187" t="s">
        <v>369</v>
      </c>
      <c r="I118" s="213" t="s">
        <v>412</v>
      </c>
      <c r="J118" s="211">
        <v>0.1</v>
      </c>
      <c r="L118" s="220" t="str">
        <f t="shared" si="12"/>
        <v>ok</v>
      </c>
      <c r="M118" s="220" t="str">
        <f t="shared" si="13"/>
        <v>ok</v>
      </c>
    </row>
    <row r="119" spans="2:13" x14ac:dyDescent="0.25">
      <c r="B119" s="203">
        <f t="shared" si="11"/>
        <v>114</v>
      </c>
      <c r="C119" s="186"/>
      <c r="D119" s="214" t="s">
        <v>352</v>
      </c>
      <c r="E119" s="210">
        <v>0.03</v>
      </c>
      <c r="F119" s="186"/>
      <c r="G119" s="187" t="s">
        <v>369</v>
      </c>
      <c r="I119" s="213" t="s">
        <v>352</v>
      </c>
      <c r="J119" s="211">
        <v>0.03</v>
      </c>
      <c r="L119" s="220" t="str">
        <f t="shared" si="12"/>
        <v>ok</v>
      </c>
      <c r="M119" s="220" t="str">
        <f t="shared" si="13"/>
        <v>ok</v>
      </c>
    </row>
    <row r="120" spans="2:13" x14ac:dyDescent="0.25">
      <c r="B120" s="203">
        <f t="shared" si="11"/>
        <v>115</v>
      </c>
      <c r="C120" s="186"/>
      <c r="D120" s="214" t="s">
        <v>185</v>
      </c>
      <c r="E120" s="210">
        <v>0.08</v>
      </c>
      <c r="F120" s="186"/>
      <c r="G120" s="187" t="s">
        <v>369</v>
      </c>
      <c r="I120" s="213" t="s">
        <v>185</v>
      </c>
      <c r="J120" s="211">
        <v>0.08</v>
      </c>
      <c r="L120" s="220" t="str">
        <f t="shared" si="12"/>
        <v>ok</v>
      </c>
      <c r="M120" s="220" t="str">
        <f t="shared" si="13"/>
        <v>ok</v>
      </c>
    </row>
    <row r="121" spans="2:13" x14ac:dyDescent="0.25">
      <c r="B121" s="203">
        <f t="shared" si="11"/>
        <v>116</v>
      </c>
      <c r="C121" s="186"/>
      <c r="D121" s="214" t="s">
        <v>214</v>
      </c>
      <c r="E121" s="210">
        <v>0.1</v>
      </c>
      <c r="F121" s="186"/>
      <c r="G121" s="187" t="s">
        <v>369</v>
      </c>
      <c r="I121" s="213" t="s">
        <v>214</v>
      </c>
      <c r="J121" s="211">
        <v>0.1</v>
      </c>
      <c r="L121" s="220" t="str">
        <f t="shared" si="12"/>
        <v>ok</v>
      </c>
      <c r="M121" s="220" t="str">
        <f t="shared" si="13"/>
        <v>ok</v>
      </c>
    </row>
    <row r="122" spans="2:13" x14ac:dyDescent="0.25">
      <c r="B122" s="203">
        <f t="shared" si="11"/>
        <v>117</v>
      </c>
      <c r="C122" s="186"/>
      <c r="D122" s="214" t="s">
        <v>157</v>
      </c>
      <c r="E122" s="211">
        <v>0.09</v>
      </c>
      <c r="F122" s="186"/>
      <c r="G122" s="187" t="s">
        <v>369</v>
      </c>
      <c r="I122" s="213" t="s">
        <v>157</v>
      </c>
      <c r="J122" s="211">
        <v>0.09</v>
      </c>
      <c r="L122" s="220" t="str">
        <f t="shared" si="12"/>
        <v>ok</v>
      </c>
      <c r="M122" s="220" t="str">
        <f t="shared" si="13"/>
        <v>ok</v>
      </c>
    </row>
    <row r="123" spans="2:13" x14ac:dyDescent="0.25">
      <c r="B123" s="203">
        <f t="shared" si="11"/>
        <v>118</v>
      </c>
      <c r="C123" s="186"/>
      <c r="D123" s="214" t="s">
        <v>336</v>
      </c>
      <c r="E123" s="210">
        <v>0.05</v>
      </c>
      <c r="F123" s="186"/>
      <c r="G123" s="187" t="s">
        <v>369</v>
      </c>
      <c r="I123" s="213" t="s">
        <v>336</v>
      </c>
      <c r="J123" s="211">
        <v>0.05</v>
      </c>
      <c r="L123" s="220" t="str">
        <f t="shared" si="12"/>
        <v>ok</v>
      </c>
      <c r="M123" s="220" t="str">
        <f t="shared" si="13"/>
        <v>ok</v>
      </c>
    </row>
    <row r="124" spans="2:13" x14ac:dyDescent="0.25">
      <c r="B124" s="203">
        <f t="shared" si="11"/>
        <v>119</v>
      </c>
      <c r="C124" s="186"/>
      <c r="D124" s="214" t="s">
        <v>308</v>
      </c>
      <c r="E124" s="210">
        <v>0.12</v>
      </c>
      <c r="F124" s="186"/>
      <c r="G124" s="187" t="s">
        <v>369</v>
      </c>
      <c r="I124" s="213" t="s">
        <v>308</v>
      </c>
      <c r="J124" s="211">
        <v>0.12</v>
      </c>
      <c r="L124" s="220" t="str">
        <f t="shared" si="12"/>
        <v>ok</v>
      </c>
      <c r="M124" s="220" t="str">
        <f t="shared" si="13"/>
        <v>ok</v>
      </c>
    </row>
    <row r="125" spans="2:13" x14ac:dyDescent="0.25">
      <c r="B125" s="203">
        <f t="shared" si="11"/>
        <v>120</v>
      </c>
      <c r="C125" s="186"/>
      <c r="D125" s="214" t="s">
        <v>601</v>
      </c>
      <c r="E125" s="210">
        <v>0.05</v>
      </c>
      <c r="F125" s="186"/>
      <c r="G125" s="187" t="s">
        <v>369</v>
      </c>
      <c r="I125" s="213" t="s">
        <v>601</v>
      </c>
      <c r="J125" s="211">
        <v>0.05</v>
      </c>
      <c r="L125" s="220" t="str">
        <f t="shared" si="12"/>
        <v>ok</v>
      </c>
      <c r="M125" s="220" t="str">
        <f t="shared" si="13"/>
        <v>ok</v>
      </c>
    </row>
    <row r="126" spans="2:13" x14ac:dyDescent="0.25">
      <c r="B126" s="203">
        <f t="shared" si="11"/>
        <v>121</v>
      </c>
      <c r="C126" s="186"/>
      <c r="D126" s="214" t="s">
        <v>268</v>
      </c>
      <c r="E126" s="210">
        <v>0.05</v>
      </c>
      <c r="F126" s="186"/>
      <c r="G126" s="187" t="s">
        <v>369</v>
      </c>
      <c r="I126" s="213" t="s">
        <v>268</v>
      </c>
      <c r="J126" s="211">
        <v>0.05</v>
      </c>
      <c r="L126" s="220" t="str">
        <f t="shared" si="12"/>
        <v>ok</v>
      </c>
      <c r="M126" s="220" t="str">
        <f t="shared" si="13"/>
        <v>ok</v>
      </c>
    </row>
    <row r="127" spans="2:13" x14ac:dyDescent="0.25">
      <c r="B127" s="203">
        <f t="shared" si="11"/>
        <v>122</v>
      </c>
      <c r="C127" s="186"/>
      <c r="D127" s="214" t="s">
        <v>269</v>
      </c>
      <c r="E127" s="210">
        <v>0.03</v>
      </c>
      <c r="F127" s="186"/>
      <c r="G127" s="187" t="s">
        <v>369</v>
      </c>
      <c r="I127" s="213" t="s">
        <v>269</v>
      </c>
      <c r="J127" s="211">
        <v>0.03</v>
      </c>
      <c r="L127" s="220" t="str">
        <f t="shared" si="12"/>
        <v>ok</v>
      </c>
      <c r="M127" s="220" t="str">
        <f t="shared" si="13"/>
        <v>ok</v>
      </c>
    </row>
    <row r="128" spans="2:13" x14ac:dyDescent="0.25">
      <c r="B128" s="203">
        <f t="shared" si="11"/>
        <v>123</v>
      </c>
      <c r="C128" s="186"/>
      <c r="D128" s="214" t="s">
        <v>145</v>
      </c>
      <c r="E128" s="210">
        <v>0.12</v>
      </c>
      <c r="F128" s="186"/>
      <c r="G128" s="187" t="s">
        <v>369</v>
      </c>
      <c r="I128" s="213" t="s">
        <v>145</v>
      </c>
      <c r="J128" s="211">
        <v>0.12</v>
      </c>
      <c r="L128" s="220" t="str">
        <f t="shared" si="12"/>
        <v>ok</v>
      </c>
      <c r="M128" s="220" t="str">
        <f t="shared" si="13"/>
        <v>ok</v>
      </c>
    </row>
    <row r="129" spans="2:13" x14ac:dyDescent="0.25">
      <c r="B129" s="203">
        <f t="shared" si="11"/>
        <v>124</v>
      </c>
      <c r="C129" s="186"/>
      <c r="D129" s="214" t="s">
        <v>166</v>
      </c>
      <c r="E129" s="210">
        <v>7.0000000000000007E-2</v>
      </c>
      <c r="F129" s="186"/>
      <c r="G129" s="187" t="s">
        <v>369</v>
      </c>
      <c r="I129" s="213" t="s">
        <v>166</v>
      </c>
      <c r="J129" s="211">
        <v>7.0000000000000007E-2</v>
      </c>
      <c r="L129" s="220" t="str">
        <f t="shared" si="12"/>
        <v>ok</v>
      </c>
      <c r="M129" s="220" t="str">
        <f t="shared" si="13"/>
        <v>ok</v>
      </c>
    </row>
    <row r="130" spans="2:13" x14ac:dyDescent="0.25">
      <c r="B130" s="203">
        <f t="shared" si="11"/>
        <v>125</v>
      </c>
      <c r="C130" s="186"/>
      <c r="D130" s="214" t="s">
        <v>124</v>
      </c>
      <c r="E130" s="210">
        <v>0.1</v>
      </c>
      <c r="F130" s="186"/>
      <c r="G130" s="187" t="s">
        <v>369</v>
      </c>
      <c r="I130" s="214" t="s">
        <v>124</v>
      </c>
      <c r="J130" s="211">
        <v>0.1</v>
      </c>
      <c r="L130" s="220" t="str">
        <f t="shared" si="12"/>
        <v>ok</v>
      </c>
      <c r="M130" s="220" t="str">
        <f t="shared" si="13"/>
        <v>ok</v>
      </c>
    </row>
    <row r="131" spans="2:13" x14ac:dyDescent="0.25">
      <c r="B131" s="203">
        <f t="shared" si="11"/>
        <v>126</v>
      </c>
      <c r="C131" s="186"/>
      <c r="D131" s="214" t="s">
        <v>438</v>
      </c>
      <c r="E131" s="210">
        <v>0.1</v>
      </c>
      <c r="F131" s="186"/>
      <c r="G131" s="187" t="s">
        <v>369</v>
      </c>
      <c r="I131" s="213" t="s">
        <v>438</v>
      </c>
      <c r="J131" s="211">
        <v>0.1</v>
      </c>
      <c r="L131" s="220" t="str">
        <f t="shared" si="12"/>
        <v>ok</v>
      </c>
      <c r="M131" s="220" t="str">
        <f t="shared" si="13"/>
        <v>ok</v>
      </c>
    </row>
    <row r="132" spans="2:13" x14ac:dyDescent="0.25">
      <c r="B132" s="203">
        <f t="shared" si="11"/>
        <v>127</v>
      </c>
      <c r="C132" s="186"/>
      <c r="D132" s="214" t="s">
        <v>121</v>
      </c>
      <c r="E132" s="210">
        <v>0.02</v>
      </c>
      <c r="F132" s="186"/>
      <c r="G132" s="187" t="s">
        <v>369</v>
      </c>
      <c r="I132" s="213" t="s">
        <v>121</v>
      </c>
      <c r="J132" s="211">
        <v>0.02</v>
      </c>
      <c r="L132" s="220" t="str">
        <f t="shared" si="12"/>
        <v>ok</v>
      </c>
      <c r="M132" s="220" t="str">
        <f t="shared" si="13"/>
        <v>ok</v>
      </c>
    </row>
    <row r="133" spans="2:13" x14ac:dyDescent="0.25">
      <c r="B133" s="203">
        <f t="shared" si="11"/>
        <v>128</v>
      </c>
      <c r="C133" s="186"/>
      <c r="D133" s="214" t="s">
        <v>583</v>
      </c>
      <c r="E133" s="210">
        <v>0.05</v>
      </c>
      <c r="F133" s="186"/>
      <c r="G133" s="187" t="s">
        <v>369</v>
      </c>
      <c r="I133" s="213" t="s">
        <v>583</v>
      </c>
      <c r="J133" s="211">
        <v>0.05</v>
      </c>
      <c r="L133" s="220" t="str">
        <f t="shared" si="12"/>
        <v>ok</v>
      </c>
      <c r="M133" s="220" t="str">
        <f t="shared" si="13"/>
        <v>ok</v>
      </c>
    </row>
    <row r="134" spans="2:13" x14ac:dyDescent="0.25">
      <c r="B134" s="203">
        <f t="shared" si="11"/>
        <v>129</v>
      </c>
      <c r="C134" s="186"/>
      <c r="D134" s="214" t="s">
        <v>244</v>
      </c>
      <c r="E134" s="211">
        <v>0.04</v>
      </c>
      <c r="F134" s="186"/>
      <c r="G134" s="187" t="s">
        <v>369</v>
      </c>
      <c r="I134" s="213" t="s">
        <v>244</v>
      </c>
      <c r="J134" s="211">
        <v>0.04</v>
      </c>
      <c r="L134" s="220" t="str">
        <f t="shared" si="12"/>
        <v>ok</v>
      </c>
      <c r="M134" s="220" t="str">
        <f t="shared" si="13"/>
        <v>ok</v>
      </c>
    </row>
    <row r="135" spans="2:13" x14ac:dyDescent="0.25">
      <c r="B135" s="203">
        <f t="shared" si="11"/>
        <v>130</v>
      </c>
      <c r="C135" s="186"/>
      <c r="D135" s="214" t="s">
        <v>264</v>
      </c>
      <c r="E135" s="210">
        <v>0.1</v>
      </c>
      <c r="F135" s="186"/>
      <c r="G135" s="187" t="s">
        <v>369</v>
      </c>
      <c r="I135" s="213" t="s">
        <v>264</v>
      </c>
      <c r="J135" s="211">
        <v>0.1</v>
      </c>
      <c r="L135" s="220" t="str">
        <f t="shared" si="12"/>
        <v>ok</v>
      </c>
      <c r="M135" s="220" t="str">
        <f t="shared" si="13"/>
        <v>ok</v>
      </c>
    </row>
    <row r="136" spans="2:13" x14ac:dyDescent="0.25">
      <c r="B136" s="203">
        <f t="shared" si="11"/>
        <v>131</v>
      </c>
      <c r="C136" s="186"/>
      <c r="D136" s="214" t="s">
        <v>450</v>
      </c>
      <c r="E136" s="210">
        <v>0.05</v>
      </c>
      <c r="F136" s="186"/>
      <c r="G136" s="187" t="s">
        <v>369</v>
      </c>
      <c r="I136" s="213" t="s">
        <v>450</v>
      </c>
      <c r="J136" s="211">
        <v>0.05</v>
      </c>
      <c r="L136" s="220" t="str">
        <f t="shared" si="12"/>
        <v>ok</v>
      </c>
      <c r="M136" s="220" t="str">
        <f t="shared" si="13"/>
        <v>ok</v>
      </c>
    </row>
    <row r="137" spans="2:13" x14ac:dyDescent="0.25">
      <c r="B137" s="203">
        <f t="shared" si="11"/>
        <v>132</v>
      </c>
      <c r="C137" s="186"/>
      <c r="D137" s="214" t="s">
        <v>355</v>
      </c>
      <c r="E137" s="210">
        <v>0.1</v>
      </c>
      <c r="F137" s="186"/>
      <c r="G137" s="187" t="s">
        <v>369</v>
      </c>
      <c r="I137" s="213" t="s">
        <v>355</v>
      </c>
      <c r="J137" s="211">
        <v>0.1</v>
      </c>
      <c r="L137" s="220" t="str">
        <f t="shared" si="12"/>
        <v>ok</v>
      </c>
      <c r="M137" s="220" t="str">
        <f t="shared" si="13"/>
        <v>ok</v>
      </c>
    </row>
    <row r="138" spans="2:13" x14ac:dyDescent="0.25">
      <c r="B138" s="203">
        <f t="shared" si="11"/>
        <v>133</v>
      </c>
      <c r="C138" s="186"/>
      <c r="D138" s="214" t="s">
        <v>188</v>
      </c>
      <c r="E138" s="210">
        <v>0.05</v>
      </c>
      <c r="F138" s="186"/>
      <c r="G138" s="187" t="s">
        <v>369</v>
      </c>
      <c r="I138" s="213" t="s">
        <v>188</v>
      </c>
      <c r="J138" s="211">
        <v>0.05</v>
      </c>
      <c r="L138" s="220" t="str">
        <f t="shared" si="12"/>
        <v>ok</v>
      </c>
      <c r="M138" s="220" t="str">
        <f t="shared" si="13"/>
        <v>ok</v>
      </c>
    </row>
    <row r="139" spans="2:13" x14ac:dyDescent="0.25">
      <c r="B139" s="203">
        <f t="shared" si="11"/>
        <v>134</v>
      </c>
      <c r="C139" s="186"/>
      <c r="D139" s="214" t="s">
        <v>589</v>
      </c>
      <c r="E139" s="210">
        <v>0.1</v>
      </c>
      <c r="F139" s="186"/>
      <c r="G139" s="187" t="s">
        <v>369</v>
      </c>
      <c r="I139" s="213" t="s">
        <v>589</v>
      </c>
      <c r="J139" s="211">
        <v>0.1</v>
      </c>
      <c r="L139" s="220" t="str">
        <f t="shared" ref="L139:L142" si="16">IF(D139=I139,"ok","RAZLIKA")</f>
        <v>ok</v>
      </c>
      <c r="M139" s="220" t="str">
        <f t="shared" ref="M139:M142" si="17">IF(E139=J139,"ok","RAZLIKA")</f>
        <v>ok</v>
      </c>
    </row>
    <row r="140" spans="2:13" x14ac:dyDescent="0.25">
      <c r="B140" s="203">
        <f t="shared" ref="B140:B203" si="18">B139+1</f>
        <v>135</v>
      </c>
      <c r="C140" s="186"/>
      <c r="D140" s="214" t="s">
        <v>358</v>
      </c>
      <c r="E140" s="210">
        <v>0.06</v>
      </c>
      <c r="F140" s="186"/>
      <c r="G140" s="187" t="s">
        <v>369</v>
      </c>
      <c r="I140" s="213" t="s">
        <v>358</v>
      </c>
      <c r="J140" s="211">
        <v>0.06</v>
      </c>
      <c r="L140" s="220" t="str">
        <f t="shared" si="16"/>
        <v>ok</v>
      </c>
      <c r="M140" s="220" t="str">
        <f t="shared" si="17"/>
        <v>ok</v>
      </c>
    </row>
    <row r="141" spans="2:13" x14ac:dyDescent="0.25">
      <c r="B141" s="203">
        <f t="shared" si="18"/>
        <v>136</v>
      </c>
      <c r="C141" s="186"/>
      <c r="D141" s="214" t="s">
        <v>200</v>
      </c>
      <c r="E141" s="210">
        <v>0.05</v>
      </c>
      <c r="F141" s="186"/>
      <c r="G141" s="187" t="s">
        <v>369</v>
      </c>
      <c r="I141" s="213" t="s">
        <v>200</v>
      </c>
      <c r="J141" s="211">
        <v>0.05</v>
      </c>
      <c r="L141" s="220" t="str">
        <f t="shared" si="16"/>
        <v>ok</v>
      </c>
      <c r="M141" s="220" t="str">
        <f t="shared" si="17"/>
        <v>ok</v>
      </c>
    </row>
    <row r="142" spans="2:13" x14ac:dyDescent="0.25">
      <c r="B142" s="203">
        <f t="shared" si="18"/>
        <v>137</v>
      </c>
      <c r="C142" s="186"/>
      <c r="D142" s="214" t="s">
        <v>125</v>
      </c>
      <c r="E142" s="210">
        <v>0.06</v>
      </c>
      <c r="F142" s="186"/>
      <c r="G142" s="187" t="s">
        <v>369</v>
      </c>
      <c r="I142" s="213" t="s">
        <v>125</v>
      </c>
      <c r="J142" s="211">
        <v>0.06</v>
      </c>
      <c r="L142" s="220" t="str">
        <f t="shared" si="16"/>
        <v>ok</v>
      </c>
      <c r="M142" s="220" t="str">
        <f t="shared" si="17"/>
        <v>ok</v>
      </c>
    </row>
    <row r="143" spans="2:13" x14ac:dyDescent="0.25">
      <c r="B143" s="203">
        <f t="shared" si="18"/>
        <v>138</v>
      </c>
      <c r="C143" s="186"/>
      <c r="D143" s="214" t="s">
        <v>114</v>
      </c>
      <c r="E143" s="210">
        <v>0.05</v>
      </c>
      <c r="F143" s="186"/>
      <c r="G143" s="187" t="s">
        <v>369</v>
      </c>
      <c r="I143" s="213" t="s">
        <v>114</v>
      </c>
      <c r="J143" s="211">
        <v>0.05</v>
      </c>
      <c r="L143" s="220" t="str">
        <f t="shared" ref="L143" si="19">IF(D143=I143,"ok","RAZLIKA")</f>
        <v>ok</v>
      </c>
      <c r="M143" s="220" t="str">
        <f t="shared" ref="M143" si="20">IF(E143=J143,"ok","RAZLIKA")</f>
        <v>ok</v>
      </c>
    </row>
    <row r="144" spans="2:13" x14ac:dyDescent="0.25">
      <c r="B144" s="203">
        <f t="shared" si="18"/>
        <v>139</v>
      </c>
      <c r="C144" s="186"/>
      <c r="D144" s="214" t="s">
        <v>122</v>
      </c>
      <c r="E144" s="210">
        <v>0.02</v>
      </c>
      <c r="F144" s="186"/>
      <c r="G144" s="187" t="s">
        <v>369</v>
      </c>
      <c r="I144" s="213" t="s">
        <v>122</v>
      </c>
      <c r="J144" s="211">
        <v>0.02</v>
      </c>
      <c r="L144" s="220" t="str">
        <f t="shared" ref="L144:L150" si="21">IF(D144=I144,"ok","RAZLIKA")</f>
        <v>ok</v>
      </c>
      <c r="M144" s="220" t="str">
        <f t="shared" ref="M144:M150" si="22">IF(E144=J144,"ok","RAZLIKA")</f>
        <v>ok</v>
      </c>
    </row>
    <row r="145" spans="2:13" x14ac:dyDescent="0.25">
      <c r="B145" s="203">
        <f t="shared" si="18"/>
        <v>140</v>
      </c>
      <c r="C145" s="186"/>
      <c r="D145" s="214" t="s">
        <v>183</v>
      </c>
      <c r="E145" s="210">
        <v>0.1</v>
      </c>
      <c r="F145" s="186"/>
      <c r="G145" s="187" t="s">
        <v>369</v>
      </c>
      <c r="I145" s="213" t="s">
        <v>183</v>
      </c>
      <c r="J145" s="211">
        <v>0.1</v>
      </c>
      <c r="L145" s="220" t="str">
        <f t="shared" si="21"/>
        <v>ok</v>
      </c>
      <c r="M145" s="220" t="str">
        <f t="shared" si="22"/>
        <v>ok</v>
      </c>
    </row>
    <row r="146" spans="2:13" x14ac:dyDescent="0.25">
      <c r="B146" s="203">
        <f t="shared" si="18"/>
        <v>141</v>
      </c>
      <c r="C146" s="186"/>
      <c r="D146" s="213" t="s">
        <v>649</v>
      </c>
      <c r="E146" s="211">
        <v>0.08</v>
      </c>
      <c r="F146" s="186"/>
      <c r="G146" s="187" t="s">
        <v>369</v>
      </c>
      <c r="I146" s="213" t="s">
        <v>649</v>
      </c>
      <c r="J146" s="211">
        <v>0.08</v>
      </c>
      <c r="L146" s="220" t="str">
        <f t="shared" si="21"/>
        <v>ok</v>
      </c>
      <c r="M146" s="220" t="str">
        <f t="shared" si="22"/>
        <v>ok</v>
      </c>
    </row>
    <row r="147" spans="2:13" x14ac:dyDescent="0.25">
      <c r="B147" s="203">
        <f t="shared" si="18"/>
        <v>142</v>
      </c>
      <c r="C147" s="186"/>
      <c r="D147" s="214" t="s">
        <v>460</v>
      </c>
      <c r="E147" s="210">
        <v>0.1</v>
      </c>
      <c r="F147" s="186"/>
      <c r="G147" s="187" t="s">
        <v>369</v>
      </c>
      <c r="I147" s="213" t="s">
        <v>460</v>
      </c>
      <c r="J147" s="211">
        <v>0.1</v>
      </c>
      <c r="L147" s="220" t="str">
        <f t="shared" si="21"/>
        <v>ok</v>
      </c>
      <c r="M147" s="220" t="str">
        <f t="shared" si="22"/>
        <v>ok</v>
      </c>
    </row>
    <row r="148" spans="2:13" x14ac:dyDescent="0.25">
      <c r="B148" s="203">
        <f t="shared" si="18"/>
        <v>143</v>
      </c>
      <c r="C148" s="186"/>
      <c r="D148" s="214" t="s">
        <v>151</v>
      </c>
      <c r="E148" s="210">
        <v>0.12</v>
      </c>
      <c r="F148" s="186"/>
      <c r="G148" s="187" t="s">
        <v>369</v>
      </c>
      <c r="I148" s="213" t="s">
        <v>151</v>
      </c>
      <c r="J148" s="211">
        <v>0.12</v>
      </c>
      <c r="L148" s="220" t="str">
        <f t="shared" si="21"/>
        <v>ok</v>
      </c>
      <c r="M148" s="220" t="str">
        <f t="shared" si="22"/>
        <v>ok</v>
      </c>
    </row>
    <row r="149" spans="2:13" x14ac:dyDescent="0.25">
      <c r="B149" s="203">
        <f t="shared" si="18"/>
        <v>144</v>
      </c>
      <c r="C149" s="186"/>
      <c r="D149" s="213" t="s">
        <v>612</v>
      </c>
      <c r="E149" s="211">
        <v>0.1</v>
      </c>
      <c r="F149" s="186"/>
      <c r="G149" s="187" t="s">
        <v>369</v>
      </c>
      <c r="I149" s="213" t="s">
        <v>612</v>
      </c>
      <c r="J149" s="211">
        <v>0.1</v>
      </c>
      <c r="L149" s="220" t="str">
        <f t="shared" si="21"/>
        <v>ok</v>
      </c>
      <c r="M149" s="220" t="str">
        <f t="shared" si="22"/>
        <v>ok</v>
      </c>
    </row>
    <row r="150" spans="2:13" x14ac:dyDescent="0.25">
      <c r="B150" s="203">
        <f t="shared" si="18"/>
        <v>145</v>
      </c>
      <c r="C150" s="186"/>
      <c r="D150" s="214" t="s">
        <v>330</v>
      </c>
      <c r="E150" s="210">
        <v>0.06</v>
      </c>
      <c r="F150" s="186"/>
      <c r="G150" s="187" t="s">
        <v>369</v>
      </c>
      <c r="I150" s="213" t="s">
        <v>330</v>
      </c>
      <c r="J150" s="211">
        <v>0.06</v>
      </c>
      <c r="L150" s="220" t="str">
        <f t="shared" si="21"/>
        <v>ok</v>
      </c>
      <c r="M150" s="220" t="str">
        <f t="shared" si="22"/>
        <v>ok</v>
      </c>
    </row>
    <row r="151" spans="2:13" x14ac:dyDescent="0.25">
      <c r="B151" s="203">
        <f t="shared" si="18"/>
        <v>146</v>
      </c>
      <c r="C151" s="186"/>
      <c r="D151" s="214" t="s">
        <v>329</v>
      </c>
      <c r="E151" s="210">
        <v>0.05</v>
      </c>
      <c r="F151" s="186"/>
      <c r="G151" s="187" t="s">
        <v>369</v>
      </c>
      <c r="I151" s="213" t="s">
        <v>329</v>
      </c>
      <c r="J151" s="211">
        <v>0.05</v>
      </c>
      <c r="L151" s="220" t="str">
        <f t="shared" ref="L151:L214" si="23">IF(D151=I151,"ok","RAZLIKA")</f>
        <v>ok</v>
      </c>
      <c r="M151" s="220" t="str">
        <f t="shared" ref="M151:M214" si="24">IF(E151=J151,"ok","RAZLIKA")</f>
        <v>ok</v>
      </c>
    </row>
    <row r="152" spans="2:13" x14ac:dyDescent="0.25">
      <c r="B152" s="203">
        <f t="shared" si="18"/>
        <v>147</v>
      </c>
      <c r="C152" s="186"/>
      <c r="D152" s="213" t="s">
        <v>650</v>
      </c>
      <c r="E152" s="211">
        <v>0.1</v>
      </c>
      <c r="F152" s="186"/>
      <c r="G152" s="187"/>
      <c r="I152" s="213" t="s">
        <v>650</v>
      </c>
      <c r="J152" s="211">
        <v>0.1</v>
      </c>
      <c r="L152" s="220" t="str">
        <f t="shared" si="23"/>
        <v>ok</v>
      </c>
      <c r="M152" s="220" t="str">
        <f t="shared" si="24"/>
        <v>ok</v>
      </c>
    </row>
    <row r="153" spans="2:13" x14ac:dyDescent="0.25">
      <c r="B153" s="203">
        <f t="shared" si="18"/>
        <v>148</v>
      </c>
      <c r="C153" s="186"/>
      <c r="D153" s="214" t="s">
        <v>363</v>
      </c>
      <c r="E153" s="211">
        <v>0.1</v>
      </c>
      <c r="F153" s="186"/>
      <c r="G153" s="187" t="s">
        <v>369</v>
      </c>
      <c r="I153" s="213" t="s">
        <v>363</v>
      </c>
      <c r="J153" s="211">
        <v>0.1</v>
      </c>
      <c r="L153" s="220" t="str">
        <f t="shared" si="23"/>
        <v>ok</v>
      </c>
      <c r="M153" s="220" t="str">
        <f t="shared" si="24"/>
        <v>ok</v>
      </c>
    </row>
    <row r="154" spans="2:13" x14ac:dyDescent="0.25">
      <c r="B154" s="203">
        <f t="shared" si="18"/>
        <v>149</v>
      </c>
      <c r="C154" s="186"/>
      <c r="D154" s="214" t="s">
        <v>167</v>
      </c>
      <c r="E154" s="210">
        <v>0.08</v>
      </c>
      <c r="F154" s="186"/>
      <c r="G154" s="187" t="s">
        <v>369</v>
      </c>
      <c r="I154" s="213" t="s">
        <v>167</v>
      </c>
      <c r="J154" s="211">
        <v>0.08</v>
      </c>
      <c r="L154" s="220" t="str">
        <f t="shared" si="23"/>
        <v>ok</v>
      </c>
      <c r="M154" s="220" t="str">
        <f t="shared" si="24"/>
        <v>ok</v>
      </c>
    </row>
    <row r="155" spans="2:13" x14ac:dyDescent="0.25">
      <c r="B155" s="203">
        <f t="shared" si="18"/>
        <v>150</v>
      </c>
      <c r="C155" s="186"/>
      <c r="D155" s="214" t="s">
        <v>584</v>
      </c>
      <c r="E155" s="210">
        <v>0.1</v>
      </c>
      <c r="F155" s="186"/>
      <c r="G155" s="187" t="s">
        <v>369</v>
      </c>
      <c r="I155" s="213" t="s">
        <v>584</v>
      </c>
      <c r="J155" s="211">
        <v>0.1</v>
      </c>
      <c r="L155" s="220" t="str">
        <f t="shared" si="23"/>
        <v>ok</v>
      </c>
      <c r="M155" s="220" t="str">
        <f t="shared" si="24"/>
        <v>ok</v>
      </c>
    </row>
    <row r="156" spans="2:13" x14ac:dyDescent="0.25">
      <c r="B156" s="203">
        <f t="shared" si="18"/>
        <v>151</v>
      </c>
      <c r="C156" s="186"/>
      <c r="D156" s="214" t="s">
        <v>154</v>
      </c>
      <c r="E156" s="210">
        <v>0.06</v>
      </c>
      <c r="F156" s="186"/>
      <c r="G156" s="187" t="s">
        <v>369</v>
      </c>
      <c r="I156" s="213" t="s">
        <v>154</v>
      </c>
      <c r="J156" s="211">
        <v>0.06</v>
      </c>
      <c r="L156" s="220" t="str">
        <f t="shared" si="23"/>
        <v>ok</v>
      </c>
      <c r="M156" s="220" t="str">
        <f t="shared" si="24"/>
        <v>ok</v>
      </c>
    </row>
    <row r="157" spans="2:13" x14ac:dyDescent="0.25">
      <c r="B157" s="203">
        <f t="shared" si="18"/>
        <v>152</v>
      </c>
      <c r="C157" s="186"/>
      <c r="D157" s="214" t="s">
        <v>236</v>
      </c>
      <c r="E157" s="210">
        <v>0.06</v>
      </c>
      <c r="F157" s="186"/>
      <c r="G157" s="187" t="s">
        <v>369</v>
      </c>
      <c r="I157" s="213" t="s">
        <v>236</v>
      </c>
      <c r="J157" s="211">
        <v>0.06</v>
      </c>
      <c r="L157" s="220" t="str">
        <f t="shared" si="23"/>
        <v>ok</v>
      </c>
      <c r="M157" s="220" t="str">
        <f t="shared" si="24"/>
        <v>ok</v>
      </c>
    </row>
    <row r="158" spans="2:13" x14ac:dyDescent="0.25">
      <c r="B158" s="203">
        <f t="shared" si="18"/>
        <v>153</v>
      </c>
      <c r="C158" s="186"/>
      <c r="D158" s="214" t="s">
        <v>346</v>
      </c>
      <c r="E158" s="210">
        <v>0.05</v>
      </c>
      <c r="F158" s="186"/>
      <c r="G158" s="187" t="s">
        <v>369</v>
      </c>
      <c r="I158" s="213" t="s">
        <v>346</v>
      </c>
      <c r="J158" s="211">
        <v>0.05</v>
      </c>
      <c r="L158" s="220" t="str">
        <f t="shared" si="23"/>
        <v>ok</v>
      </c>
      <c r="M158" s="220" t="str">
        <f t="shared" si="24"/>
        <v>ok</v>
      </c>
    </row>
    <row r="159" spans="2:13" x14ac:dyDescent="0.25">
      <c r="B159" s="203">
        <f t="shared" si="18"/>
        <v>154</v>
      </c>
      <c r="C159" s="186"/>
      <c r="D159" s="214" t="s">
        <v>302</v>
      </c>
      <c r="E159" s="210">
        <v>7.0000000000000007E-2</v>
      </c>
      <c r="F159" s="186"/>
      <c r="G159" s="187" t="s">
        <v>369</v>
      </c>
      <c r="I159" s="213" t="s">
        <v>302</v>
      </c>
      <c r="J159" s="211">
        <v>7.0000000000000007E-2</v>
      </c>
      <c r="L159" s="220" t="str">
        <f t="shared" si="23"/>
        <v>ok</v>
      </c>
      <c r="M159" s="220" t="str">
        <f t="shared" si="24"/>
        <v>ok</v>
      </c>
    </row>
    <row r="160" spans="2:13" x14ac:dyDescent="0.25">
      <c r="B160" s="203">
        <f t="shared" si="18"/>
        <v>155</v>
      </c>
      <c r="C160" s="186"/>
      <c r="D160" s="213" t="s">
        <v>286</v>
      </c>
      <c r="E160" s="211">
        <v>0.05</v>
      </c>
      <c r="F160" s="186"/>
      <c r="G160" s="187"/>
      <c r="I160" s="213" t="s">
        <v>286</v>
      </c>
      <c r="J160" s="211">
        <v>0.05</v>
      </c>
      <c r="L160" s="220" t="str">
        <f t="shared" si="23"/>
        <v>ok</v>
      </c>
      <c r="M160" s="220" t="str">
        <f t="shared" si="24"/>
        <v>ok</v>
      </c>
    </row>
    <row r="161" spans="2:13" x14ac:dyDescent="0.25">
      <c r="B161" s="203">
        <f t="shared" si="18"/>
        <v>156</v>
      </c>
      <c r="C161" s="186"/>
      <c r="D161" s="214" t="s">
        <v>202</v>
      </c>
      <c r="E161" s="210">
        <v>0.08</v>
      </c>
      <c r="F161" s="186"/>
      <c r="G161" s="187" t="s">
        <v>369</v>
      </c>
      <c r="I161" s="213" t="s">
        <v>202</v>
      </c>
      <c r="J161" s="211">
        <v>0.08</v>
      </c>
      <c r="L161" s="220" t="str">
        <f t="shared" si="23"/>
        <v>ok</v>
      </c>
      <c r="M161" s="220" t="str">
        <f t="shared" si="24"/>
        <v>ok</v>
      </c>
    </row>
    <row r="162" spans="2:13" x14ac:dyDescent="0.25">
      <c r="B162" s="203">
        <f t="shared" si="18"/>
        <v>157</v>
      </c>
      <c r="C162" s="186"/>
      <c r="D162" s="214" t="s">
        <v>168</v>
      </c>
      <c r="E162" s="210">
        <v>0.12</v>
      </c>
      <c r="F162" s="186"/>
      <c r="G162" s="187" t="s">
        <v>369</v>
      </c>
      <c r="I162" s="213" t="s">
        <v>168</v>
      </c>
      <c r="J162" s="211">
        <v>0.12</v>
      </c>
      <c r="L162" s="220" t="str">
        <f t="shared" si="23"/>
        <v>ok</v>
      </c>
      <c r="M162" s="220" t="str">
        <f t="shared" si="24"/>
        <v>ok</v>
      </c>
    </row>
    <row r="163" spans="2:13" x14ac:dyDescent="0.25">
      <c r="B163" s="203">
        <f t="shared" si="18"/>
        <v>158</v>
      </c>
      <c r="C163" s="186"/>
      <c r="D163" s="214" t="s">
        <v>142</v>
      </c>
      <c r="E163" s="210">
        <v>0.05</v>
      </c>
      <c r="F163" s="186"/>
      <c r="G163" s="187" t="s">
        <v>369</v>
      </c>
      <c r="I163" s="213" t="s">
        <v>142</v>
      </c>
      <c r="J163" s="211">
        <v>0.05</v>
      </c>
      <c r="L163" s="220" t="str">
        <f t="shared" si="23"/>
        <v>ok</v>
      </c>
      <c r="M163" s="220" t="str">
        <f t="shared" si="24"/>
        <v>ok</v>
      </c>
    </row>
    <row r="164" spans="2:13" x14ac:dyDescent="0.25">
      <c r="B164" s="203">
        <f t="shared" si="18"/>
        <v>159</v>
      </c>
      <c r="C164" s="186"/>
      <c r="D164" s="214" t="s">
        <v>439</v>
      </c>
      <c r="E164" s="210">
        <v>0.08</v>
      </c>
      <c r="F164" s="186"/>
      <c r="G164" s="187" t="s">
        <v>369</v>
      </c>
      <c r="I164" s="213" t="s">
        <v>439</v>
      </c>
      <c r="J164" s="211">
        <v>0.08</v>
      </c>
      <c r="L164" s="220" t="str">
        <f t="shared" si="23"/>
        <v>ok</v>
      </c>
      <c r="M164" s="220" t="str">
        <f t="shared" si="24"/>
        <v>ok</v>
      </c>
    </row>
    <row r="165" spans="2:13" x14ac:dyDescent="0.25">
      <c r="B165" s="203">
        <f t="shared" si="18"/>
        <v>160</v>
      </c>
      <c r="C165" s="186"/>
      <c r="D165" s="214" t="s">
        <v>360</v>
      </c>
      <c r="E165" s="210">
        <v>0.05</v>
      </c>
      <c r="F165" s="186"/>
      <c r="G165" s="187" t="s">
        <v>369</v>
      </c>
      <c r="I165" s="213" t="s">
        <v>360</v>
      </c>
      <c r="J165" s="211">
        <v>0.05</v>
      </c>
      <c r="L165" s="220" t="str">
        <f t="shared" si="23"/>
        <v>ok</v>
      </c>
      <c r="M165" s="220" t="str">
        <f t="shared" si="24"/>
        <v>ok</v>
      </c>
    </row>
    <row r="166" spans="2:13" x14ac:dyDescent="0.25">
      <c r="B166" s="203">
        <f t="shared" si="18"/>
        <v>161</v>
      </c>
      <c r="C166" s="186"/>
      <c r="D166" s="214" t="s">
        <v>337</v>
      </c>
      <c r="E166" s="210">
        <v>0.01</v>
      </c>
      <c r="F166" s="186"/>
      <c r="G166" s="187" t="s">
        <v>369</v>
      </c>
      <c r="I166" s="213" t="s">
        <v>337</v>
      </c>
      <c r="J166" s="211">
        <v>0.01</v>
      </c>
      <c r="L166" s="220" t="str">
        <f t="shared" si="23"/>
        <v>ok</v>
      </c>
      <c r="M166" s="220" t="str">
        <f t="shared" si="24"/>
        <v>ok</v>
      </c>
    </row>
    <row r="167" spans="2:13" x14ac:dyDescent="0.25">
      <c r="B167" s="203">
        <f t="shared" si="18"/>
        <v>162</v>
      </c>
      <c r="C167" s="186"/>
      <c r="D167" s="214" t="s">
        <v>461</v>
      </c>
      <c r="E167" s="210">
        <v>0.1</v>
      </c>
      <c r="F167" s="186"/>
      <c r="G167" s="187" t="s">
        <v>369</v>
      </c>
      <c r="I167" s="213" t="s">
        <v>461</v>
      </c>
      <c r="J167" s="211">
        <v>0.1</v>
      </c>
      <c r="L167" s="220" t="str">
        <f t="shared" si="23"/>
        <v>ok</v>
      </c>
      <c r="M167" s="220" t="str">
        <f t="shared" si="24"/>
        <v>ok</v>
      </c>
    </row>
    <row r="168" spans="2:13" x14ac:dyDescent="0.25">
      <c r="B168" s="203">
        <f t="shared" si="18"/>
        <v>163</v>
      </c>
      <c r="C168" s="186"/>
      <c r="D168" s="214" t="s">
        <v>248</v>
      </c>
      <c r="E168" s="210">
        <v>0.02</v>
      </c>
      <c r="F168" s="186"/>
      <c r="G168" s="187" t="s">
        <v>369</v>
      </c>
      <c r="I168" s="213" t="s">
        <v>248</v>
      </c>
      <c r="J168" s="211">
        <v>0.02</v>
      </c>
      <c r="L168" s="220" t="str">
        <f t="shared" si="23"/>
        <v>ok</v>
      </c>
      <c r="M168" s="220" t="str">
        <f t="shared" si="24"/>
        <v>ok</v>
      </c>
    </row>
    <row r="169" spans="2:13" x14ac:dyDescent="0.25">
      <c r="B169" s="203">
        <f t="shared" si="18"/>
        <v>164</v>
      </c>
      <c r="C169" s="186"/>
      <c r="D169" s="213" t="s">
        <v>651</v>
      </c>
      <c r="E169" s="211">
        <v>0.05</v>
      </c>
      <c r="F169" s="186"/>
      <c r="G169" s="187"/>
      <c r="I169" s="213" t="s">
        <v>651</v>
      </c>
      <c r="J169" s="211">
        <v>0.05</v>
      </c>
      <c r="L169" s="220" t="str">
        <f t="shared" si="23"/>
        <v>ok</v>
      </c>
      <c r="M169" s="220" t="str">
        <f t="shared" si="24"/>
        <v>ok</v>
      </c>
    </row>
    <row r="170" spans="2:13" x14ac:dyDescent="0.25">
      <c r="B170" s="203">
        <f t="shared" si="18"/>
        <v>165</v>
      </c>
      <c r="C170" s="186"/>
      <c r="D170" s="214" t="s">
        <v>309</v>
      </c>
      <c r="E170" s="210">
        <v>0.1</v>
      </c>
      <c r="F170" s="186"/>
      <c r="G170" s="187" t="s">
        <v>369</v>
      </c>
      <c r="I170" s="213" t="s">
        <v>309</v>
      </c>
      <c r="J170" s="211">
        <v>0.1</v>
      </c>
      <c r="L170" s="220" t="str">
        <f t="shared" si="23"/>
        <v>ok</v>
      </c>
      <c r="M170" s="220" t="str">
        <f t="shared" si="24"/>
        <v>ok</v>
      </c>
    </row>
    <row r="171" spans="2:13" x14ac:dyDescent="0.25">
      <c r="B171" s="203">
        <f t="shared" si="18"/>
        <v>166</v>
      </c>
      <c r="C171" s="186"/>
      <c r="D171" s="214" t="s">
        <v>169</v>
      </c>
      <c r="E171" s="210">
        <v>0.1</v>
      </c>
      <c r="F171" s="186"/>
      <c r="G171" s="187" t="s">
        <v>369</v>
      </c>
      <c r="I171" s="213" t="s">
        <v>169</v>
      </c>
      <c r="J171" s="211">
        <v>0.1</v>
      </c>
      <c r="L171" s="220" t="str">
        <f t="shared" si="23"/>
        <v>ok</v>
      </c>
      <c r="M171" s="220" t="str">
        <f t="shared" si="24"/>
        <v>ok</v>
      </c>
    </row>
    <row r="172" spans="2:13" x14ac:dyDescent="0.25">
      <c r="B172" s="203">
        <f t="shared" si="18"/>
        <v>167</v>
      </c>
      <c r="C172" s="186"/>
      <c r="D172" s="214" t="s">
        <v>347</v>
      </c>
      <c r="E172" s="210">
        <v>0.05</v>
      </c>
      <c r="F172" s="186"/>
      <c r="G172" s="187" t="s">
        <v>369</v>
      </c>
      <c r="I172" s="213" t="s">
        <v>347</v>
      </c>
      <c r="J172" s="211">
        <v>0.05</v>
      </c>
      <c r="L172" s="220" t="str">
        <f t="shared" si="23"/>
        <v>ok</v>
      </c>
      <c r="M172" s="220" t="str">
        <f t="shared" si="24"/>
        <v>ok</v>
      </c>
    </row>
    <row r="173" spans="2:13" x14ac:dyDescent="0.25">
      <c r="B173" s="203">
        <f t="shared" si="18"/>
        <v>168</v>
      </c>
      <c r="C173" s="186"/>
      <c r="D173" s="214" t="s">
        <v>143</v>
      </c>
      <c r="E173" s="210">
        <v>0.1</v>
      </c>
      <c r="F173" s="186"/>
      <c r="G173" s="187" t="s">
        <v>369</v>
      </c>
      <c r="I173" s="213" t="s">
        <v>143</v>
      </c>
      <c r="J173" s="211">
        <v>0.1</v>
      </c>
      <c r="L173" s="220" t="str">
        <f t="shared" si="23"/>
        <v>ok</v>
      </c>
      <c r="M173" s="220" t="str">
        <f t="shared" si="24"/>
        <v>ok</v>
      </c>
    </row>
    <row r="174" spans="2:13" x14ac:dyDescent="0.25">
      <c r="B174" s="203">
        <f t="shared" si="18"/>
        <v>169</v>
      </c>
      <c r="C174" s="186"/>
      <c r="D174" s="214" t="s">
        <v>249</v>
      </c>
      <c r="E174" s="210">
        <v>0.05</v>
      </c>
      <c r="F174" s="186"/>
      <c r="G174" s="187" t="s">
        <v>369</v>
      </c>
      <c r="I174" s="213" t="s">
        <v>249</v>
      </c>
      <c r="J174" s="211">
        <v>0.05</v>
      </c>
      <c r="L174" s="220" t="str">
        <f t="shared" si="23"/>
        <v>ok</v>
      </c>
      <c r="M174" s="220" t="str">
        <f t="shared" si="24"/>
        <v>ok</v>
      </c>
    </row>
    <row r="175" spans="2:13" x14ac:dyDescent="0.25">
      <c r="B175" s="203">
        <f t="shared" si="18"/>
        <v>170</v>
      </c>
      <c r="C175" s="186"/>
      <c r="D175" s="214" t="s">
        <v>281</v>
      </c>
      <c r="E175" s="210">
        <v>0.05</v>
      </c>
      <c r="F175" s="186"/>
      <c r="G175" s="187" t="s">
        <v>369</v>
      </c>
      <c r="I175" s="213" t="s">
        <v>281</v>
      </c>
      <c r="J175" s="211">
        <v>0.05</v>
      </c>
      <c r="L175" s="220" t="str">
        <f t="shared" si="23"/>
        <v>ok</v>
      </c>
      <c r="M175" s="220" t="str">
        <f t="shared" si="24"/>
        <v>ok</v>
      </c>
    </row>
    <row r="176" spans="2:13" x14ac:dyDescent="0.25">
      <c r="B176" s="203">
        <f t="shared" si="18"/>
        <v>171</v>
      </c>
      <c r="C176" s="186"/>
      <c r="D176" s="214" t="s">
        <v>585</v>
      </c>
      <c r="E176" s="210">
        <v>0.05</v>
      </c>
      <c r="F176" s="186"/>
      <c r="G176" s="187" t="s">
        <v>369</v>
      </c>
      <c r="I176" s="213" t="s">
        <v>585</v>
      </c>
      <c r="J176" s="211">
        <v>0.05</v>
      </c>
      <c r="L176" s="220" t="str">
        <f t="shared" si="23"/>
        <v>ok</v>
      </c>
      <c r="M176" s="220" t="str">
        <f t="shared" si="24"/>
        <v>ok</v>
      </c>
    </row>
    <row r="177" spans="2:13" x14ac:dyDescent="0.25">
      <c r="B177" s="203">
        <f t="shared" si="18"/>
        <v>172</v>
      </c>
      <c r="C177" s="186"/>
      <c r="D177" s="214" t="s">
        <v>425</v>
      </c>
      <c r="E177" s="210">
        <v>0.05</v>
      </c>
      <c r="F177" s="186"/>
      <c r="G177" s="187" t="s">
        <v>369</v>
      </c>
      <c r="I177" s="213" t="s">
        <v>425</v>
      </c>
      <c r="J177" s="211">
        <v>0.05</v>
      </c>
      <c r="L177" s="220" t="str">
        <f t="shared" si="23"/>
        <v>ok</v>
      </c>
      <c r="M177" s="220" t="str">
        <f t="shared" si="24"/>
        <v>ok</v>
      </c>
    </row>
    <row r="178" spans="2:13" x14ac:dyDescent="0.25">
      <c r="B178" s="203">
        <f t="shared" si="18"/>
        <v>173</v>
      </c>
      <c r="C178" s="186"/>
      <c r="D178" s="213" t="s">
        <v>590</v>
      </c>
      <c r="E178" s="211">
        <v>0.1</v>
      </c>
      <c r="F178" s="186"/>
      <c r="G178" s="187" t="s">
        <v>369</v>
      </c>
      <c r="I178" s="213" t="s">
        <v>590</v>
      </c>
      <c r="J178" s="211">
        <v>0.1</v>
      </c>
      <c r="L178" s="220" t="str">
        <f t="shared" si="23"/>
        <v>ok</v>
      </c>
      <c r="M178" s="220" t="str">
        <f t="shared" si="24"/>
        <v>ok</v>
      </c>
    </row>
    <row r="179" spans="2:13" x14ac:dyDescent="0.25">
      <c r="B179" s="203">
        <f t="shared" si="18"/>
        <v>174</v>
      </c>
      <c r="C179" s="186"/>
      <c r="D179" s="214" t="s">
        <v>348</v>
      </c>
      <c r="E179" s="210">
        <v>0.05</v>
      </c>
      <c r="F179" s="186"/>
      <c r="G179" s="187" t="s">
        <v>369</v>
      </c>
      <c r="I179" s="213" t="s">
        <v>348</v>
      </c>
      <c r="J179" s="211">
        <v>0.05</v>
      </c>
      <c r="L179" s="220" t="str">
        <f t="shared" si="23"/>
        <v>ok</v>
      </c>
      <c r="M179" s="220" t="str">
        <f t="shared" si="24"/>
        <v>ok</v>
      </c>
    </row>
    <row r="180" spans="2:13" x14ac:dyDescent="0.25">
      <c r="B180" s="203">
        <f t="shared" si="18"/>
        <v>175</v>
      </c>
      <c r="C180" s="186"/>
      <c r="D180" s="214" t="s">
        <v>364</v>
      </c>
      <c r="E180" s="210">
        <v>0.08</v>
      </c>
      <c r="F180" s="186"/>
      <c r="G180" s="187" t="s">
        <v>369</v>
      </c>
      <c r="I180" s="213" t="s">
        <v>364</v>
      </c>
      <c r="J180" s="211">
        <v>0.08</v>
      </c>
      <c r="L180" s="220" t="str">
        <f t="shared" si="23"/>
        <v>ok</v>
      </c>
      <c r="M180" s="220" t="str">
        <f t="shared" si="24"/>
        <v>ok</v>
      </c>
    </row>
    <row r="181" spans="2:13" x14ac:dyDescent="0.25">
      <c r="B181" s="203">
        <f t="shared" si="18"/>
        <v>176</v>
      </c>
      <c r="C181" s="186"/>
      <c r="D181" s="213" t="s">
        <v>652</v>
      </c>
      <c r="E181" s="211">
        <v>0.08</v>
      </c>
      <c r="F181" s="186"/>
      <c r="G181" s="187"/>
      <c r="I181" s="213" t="s">
        <v>652</v>
      </c>
      <c r="J181" s="211">
        <v>0.08</v>
      </c>
      <c r="L181" s="220" t="str">
        <f t="shared" si="23"/>
        <v>ok</v>
      </c>
      <c r="M181" s="220" t="str">
        <f t="shared" si="24"/>
        <v>ok</v>
      </c>
    </row>
    <row r="182" spans="2:13" x14ac:dyDescent="0.25">
      <c r="B182" s="203">
        <f t="shared" si="18"/>
        <v>177</v>
      </c>
      <c r="C182" s="186"/>
      <c r="D182" s="214" t="s">
        <v>296</v>
      </c>
      <c r="E182" s="210">
        <v>0.03</v>
      </c>
      <c r="F182" s="186"/>
      <c r="G182" s="187" t="s">
        <v>369</v>
      </c>
      <c r="I182" s="213" t="s">
        <v>296</v>
      </c>
      <c r="J182" s="211">
        <v>0.03</v>
      </c>
      <c r="L182" s="220" t="str">
        <f t="shared" si="23"/>
        <v>ok</v>
      </c>
      <c r="M182" s="220" t="str">
        <f t="shared" si="24"/>
        <v>ok</v>
      </c>
    </row>
    <row r="183" spans="2:13" x14ac:dyDescent="0.25">
      <c r="B183" s="203">
        <f t="shared" si="18"/>
        <v>178</v>
      </c>
      <c r="C183" s="186"/>
      <c r="D183" s="214" t="s">
        <v>356</v>
      </c>
      <c r="E183" s="210">
        <v>0.1</v>
      </c>
      <c r="F183" s="186"/>
      <c r="G183" s="187" t="s">
        <v>369</v>
      </c>
      <c r="I183" s="213" t="s">
        <v>356</v>
      </c>
      <c r="J183" s="211">
        <v>0.1</v>
      </c>
      <c r="L183" s="220" t="str">
        <f t="shared" si="23"/>
        <v>ok</v>
      </c>
      <c r="M183" s="220" t="str">
        <f t="shared" si="24"/>
        <v>ok</v>
      </c>
    </row>
    <row r="184" spans="2:13" x14ac:dyDescent="0.25">
      <c r="B184" s="203">
        <f t="shared" si="18"/>
        <v>179</v>
      </c>
      <c r="C184" s="186"/>
      <c r="D184" s="214" t="s">
        <v>591</v>
      </c>
      <c r="E184" s="211">
        <v>0</v>
      </c>
      <c r="F184" s="186"/>
      <c r="G184" s="187" t="s">
        <v>369</v>
      </c>
      <c r="I184" s="213" t="s">
        <v>591</v>
      </c>
      <c r="J184" s="211">
        <v>0</v>
      </c>
      <c r="L184" s="220" t="str">
        <f t="shared" si="23"/>
        <v>ok</v>
      </c>
      <c r="M184" s="220" t="str">
        <f t="shared" si="24"/>
        <v>ok</v>
      </c>
    </row>
    <row r="185" spans="2:13" x14ac:dyDescent="0.25">
      <c r="B185" s="203">
        <f t="shared" si="18"/>
        <v>180</v>
      </c>
      <c r="C185" s="186"/>
      <c r="D185" s="214" t="s">
        <v>196</v>
      </c>
      <c r="E185" s="210">
        <v>7.0000000000000007E-2</v>
      </c>
      <c r="F185" s="186"/>
      <c r="G185" s="187" t="s">
        <v>369</v>
      </c>
      <c r="I185" s="213" t="s">
        <v>196</v>
      </c>
      <c r="J185" s="211">
        <v>7.0000000000000007E-2</v>
      </c>
      <c r="L185" s="220" t="str">
        <f t="shared" si="23"/>
        <v>ok</v>
      </c>
      <c r="M185" s="220" t="str">
        <f t="shared" si="24"/>
        <v>ok</v>
      </c>
    </row>
    <row r="186" spans="2:13" x14ac:dyDescent="0.25">
      <c r="B186" s="203">
        <f t="shared" si="18"/>
        <v>181</v>
      </c>
      <c r="C186" s="186"/>
      <c r="D186" s="214" t="s">
        <v>321</v>
      </c>
      <c r="E186" s="210">
        <v>7.0000000000000007E-2</v>
      </c>
      <c r="F186" s="186"/>
      <c r="G186" s="187" t="s">
        <v>369</v>
      </c>
      <c r="I186" s="213" t="s">
        <v>321</v>
      </c>
      <c r="J186" s="211">
        <v>7.0000000000000007E-2</v>
      </c>
      <c r="L186" s="220" t="str">
        <f t="shared" si="23"/>
        <v>ok</v>
      </c>
      <c r="M186" s="220" t="str">
        <f t="shared" si="24"/>
        <v>ok</v>
      </c>
    </row>
    <row r="187" spans="2:13" x14ac:dyDescent="0.25">
      <c r="B187" s="203">
        <f t="shared" si="18"/>
        <v>182</v>
      </c>
      <c r="C187" s="186"/>
      <c r="D187" s="213" t="s">
        <v>592</v>
      </c>
      <c r="E187" s="210">
        <v>0.08</v>
      </c>
      <c r="F187" s="186"/>
      <c r="G187" s="187" t="s">
        <v>369</v>
      </c>
      <c r="I187" s="213" t="s">
        <v>592</v>
      </c>
      <c r="J187" s="211">
        <v>0.08</v>
      </c>
      <c r="L187" s="220" t="str">
        <f t="shared" si="23"/>
        <v>ok</v>
      </c>
      <c r="M187" s="220" t="str">
        <f t="shared" si="24"/>
        <v>ok</v>
      </c>
    </row>
    <row r="188" spans="2:13" x14ac:dyDescent="0.25">
      <c r="B188" s="203">
        <f t="shared" si="18"/>
        <v>183</v>
      </c>
      <c r="C188" s="186"/>
      <c r="D188" s="214" t="s">
        <v>251</v>
      </c>
      <c r="E188" s="210">
        <v>0.08</v>
      </c>
      <c r="F188" s="186"/>
      <c r="G188" s="187" t="s">
        <v>369</v>
      </c>
      <c r="I188" s="213" t="s">
        <v>251</v>
      </c>
      <c r="J188" s="211">
        <v>0.08</v>
      </c>
      <c r="L188" s="220" t="str">
        <f t="shared" si="23"/>
        <v>ok</v>
      </c>
      <c r="M188" s="220" t="str">
        <f t="shared" si="24"/>
        <v>ok</v>
      </c>
    </row>
    <row r="189" spans="2:13" x14ac:dyDescent="0.25">
      <c r="B189" s="203">
        <f t="shared" si="18"/>
        <v>184</v>
      </c>
      <c r="C189" s="186"/>
      <c r="D189" s="214" t="s">
        <v>287</v>
      </c>
      <c r="E189" s="210">
        <v>0.05</v>
      </c>
      <c r="F189" s="186"/>
      <c r="G189" s="187" t="s">
        <v>369</v>
      </c>
      <c r="I189" s="213" t="s">
        <v>287</v>
      </c>
      <c r="J189" s="211">
        <v>0.05</v>
      </c>
      <c r="L189" s="220" t="str">
        <f t="shared" si="23"/>
        <v>ok</v>
      </c>
      <c r="M189" s="220" t="str">
        <f t="shared" si="24"/>
        <v>ok</v>
      </c>
    </row>
    <row r="190" spans="2:13" x14ac:dyDescent="0.25">
      <c r="B190" s="203">
        <f t="shared" si="18"/>
        <v>185</v>
      </c>
      <c r="C190" s="186"/>
      <c r="D190" s="214" t="s">
        <v>216</v>
      </c>
      <c r="E190" s="210">
        <v>0.12</v>
      </c>
      <c r="F190" s="186"/>
      <c r="G190" s="187" t="s">
        <v>369</v>
      </c>
      <c r="I190" s="213" t="s">
        <v>216</v>
      </c>
      <c r="J190" s="211">
        <v>0.12</v>
      </c>
      <c r="L190" s="220" t="str">
        <f t="shared" si="23"/>
        <v>ok</v>
      </c>
      <c r="M190" s="220" t="str">
        <f t="shared" si="24"/>
        <v>ok</v>
      </c>
    </row>
    <row r="191" spans="2:13" x14ac:dyDescent="0.25">
      <c r="B191" s="203">
        <f t="shared" si="18"/>
        <v>186</v>
      </c>
      <c r="C191" s="186"/>
      <c r="D191" s="214" t="s">
        <v>219</v>
      </c>
      <c r="E191" s="210">
        <v>0.1</v>
      </c>
      <c r="F191" s="186"/>
      <c r="G191" s="187" t="s">
        <v>369</v>
      </c>
      <c r="I191" s="213" t="s">
        <v>219</v>
      </c>
      <c r="J191" s="211">
        <v>0.1</v>
      </c>
      <c r="L191" s="220" t="str">
        <f t="shared" si="23"/>
        <v>ok</v>
      </c>
      <c r="M191" s="220" t="str">
        <f t="shared" si="24"/>
        <v>ok</v>
      </c>
    </row>
    <row r="192" spans="2:13" x14ac:dyDescent="0.25">
      <c r="B192" s="203">
        <f t="shared" si="18"/>
        <v>187</v>
      </c>
      <c r="C192" s="186"/>
      <c r="D192" s="214" t="s">
        <v>172</v>
      </c>
      <c r="E192" s="210">
        <v>0.1</v>
      </c>
      <c r="F192" s="186"/>
      <c r="G192" s="187" t="s">
        <v>369</v>
      </c>
      <c r="I192" s="213" t="s">
        <v>172</v>
      </c>
      <c r="J192" s="211">
        <v>0.1</v>
      </c>
      <c r="L192" s="220" t="str">
        <f t="shared" si="23"/>
        <v>ok</v>
      </c>
      <c r="M192" s="220" t="str">
        <f t="shared" si="24"/>
        <v>ok</v>
      </c>
    </row>
    <row r="193" spans="2:13" x14ac:dyDescent="0.25">
      <c r="B193" s="203">
        <f t="shared" si="18"/>
        <v>188</v>
      </c>
      <c r="C193" s="186"/>
      <c r="D193" s="214" t="s">
        <v>192</v>
      </c>
      <c r="E193" s="210">
        <v>7.0000000000000007E-2</v>
      </c>
      <c r="F193" s="186"/>
      <c r="G193" s="187" t="s">
        <v>369</v>
      </c>
      <c r="I193" s="213" t="s">
        <v>192</v>
      </c>
      <c r="J193" s="211">
        <v>7.0000000000000007E-2</v>
      </c>
      <c r="L193" s="220" t="str">
        <f t="shared" si="23"/>
        <v>ok</v>
      </c>
      <c r="M193" s="220" t="str">
        <f t="shared" si="24"/>
        <v>ok</v>
      </c>
    </row>
    <row r="194" spans="2:13" x14ac:dyDescent="0.25">
      <c r="B194" s="203">
        <f t="shared" si="18"/>
        <v>189</v>
      </c>
      <c r="C194" s="186"/>
      <c r="D194" s="214" t="s">
        <v>153</v>
      </c>
      <c r="E194" s="211">
        <v>0.08</v>
      </c>
      <c r="F194" s="186"/>
      <c r="G194" s="187" t="s">
        <v>369</v>
      </c>
      <c r="I194" s="213" t="s">
        <v>153</v>
      </c>
      <c r="J194" s="211">
        <v>0.08</v>
      </c>
      <c r="L194" s="220" t="str">
        <f t="shared" si="23"/>
        <v>ok</v>
      </c>
      <c r="M194" s="220" t="str">
        <f t="shared" si="24"/>
        <v>ok</v>
      </c>
    </row>
    <row r="195" spans="2:13" x14ac:dyDescent="0.25">
      <c r="B195" s="203">
        <f t="shared" si="18"/>
        <v>190</v>
      </c>
      <c r="C195" s="186"/>
      <c r="D195" s="214" t="s">
        <v>282</v>
      </c>
      <c r="E195" s="210">
        <v>0.06</v>
      </c>
      <c r="F195" s="186"/>
      <c r="G195" s="187" t="s">
        <v>369</v>
      </c>
      <c r="I195" s="213" t="s">
        <v>282</v>
      </c>
      <c r="J195" s="211">
        <v>0.06</v>
      </c>
      <c r="L195" s="220" t="str">
        <f t="shared" si="23"/>
        <v>ok</v>
      </c>
      <c r="M195" s="220" t="str">
        <f t="shared" si="24"/>
        <v>ok</v>
      </c>
    </row>
    <row r="196" spans="2:13" x14ac:dyDescent="0.25">
      <c r="B196" s="203">
        <f t="shared" si="18"/>
        <v>191</v>
      </c>
      <c r="C196" s="186"/>
      <c r="D196" s="214" t="s">
        <v>451</v>
      </c>
      <c r="E196" s="210">
        <v>0.05</v>
      </c>
      <c r="F196" s="186"/>
      <c r="G196" s="187" t="s">
        <v>369</v>
      </c>
      <c r="I196" s="213" t="s">
        <v>451</v>
      </c>
      <c r="J196" s="211">
        <v>0.05</v>
      </c>
      <c r="L196" s="220" t="str">
        <f t="shared" si="23"/>
        <v>ok</v>
      </c>
      <c r="M196" s="220" t="str">
        <f t="shared" si="24"/>
        <v>ok</v>
      </c>
    </row>
    <row r="197" spans="2:13" x14ac:dyDescent="0.25">
      <c r="B197" s="203">
        <f t="shared" si="18"/>
        <v>192</v>
      </c>
      <c r="C197" s="186"/>
      <c r="D197" s="214" t="s">
        <v>457</v>
      </c>
      <c r="E197" s="210">
        <v>0.1</v>
      </c>
      <c r="F197" s="186"/>
      <c r="G197" s="187" t="s">
        <v>369</v>
      </c>
      <c r="I197" s="214" t="s">
        <v>457</v>
      </c>
      <c r="J197" s="211">
        <v>0.1</v>
      </c>
      <c r="L197" s="220" t="str">
        <f t="shared" si="23"/>
        <v>ok</v>
      </c>
      <c r="M197" s="220" t="str">
        <f t="shared" si="24"/>
        <v>ok</v>
      </c>
    </row>
    <row r="198" spans="2:13" x14ac:dyDescent="0.25">
      <c r="B198" s="203">
        <f t="shared" si="18"/>
        <v>193</v>
      </c>
      <c r="C198" s="186"/>
      <c r="D198" s="214" t="s">
        <v>313</v>
      </c>
      <c r="E198" s="210">
        <v>0.08</v>
      </c>
      <c r="F198" s="186"/>
      <c r="G198" s="187" t="s">
        <v>369</v>
      </c>
      <c r="I198" s="213" t="s">
        <v>313</v>
      </c>
      <c r="J198" s="211">
        <v>0.08</v>
      </c>
      <c r="L198" s="220" t="str">
        <f t="shared" si="23"/>
        <v>ok</v>
      </c>
      <c r="M198" s="220" t="str">
        <f t="shared" si="24"/>
        <v>ok</v>
      </c>
    </row>
    <row r="199" spans="2:13" x14ac:dyDescent="0.25">
      <c r="B199" s="203">
        <f t="shared" si="18"/>
        <v>194</v>
      </c>
      <c r="C199" s="186"/>
      <c r="D199" s="214" t="s">
        <v>198</v>
      </c>
      <c r="E199" s="211">
        <v>0</v>
      </c>
      <c r="F199" s="186"/>
      <c r="G199" s="187" t="s">
        <v>369</v>
      </c>
      <c r="I199" s="213" t="s">
        <v>198</v>
      </c>
      <c r="J199" s="211">
        <v>0</v>
      </c>
      <c r="L199" s="220" t="str">
        <f t="shared" si="23"/>
        <v>ok</v>
      </c>
      <c r="M199" s="220" t="str">
        <f t="shared" si="24"/>
        <v>ok</v>
      </c>
    </row>
    <row r="200" spans="2:13" x14ac:dyDescent="0.25">
      <c r="B200" s="203">
        <f t="shared" si="18"/>
        <v>195</v>
      </c>
      <c r="C200" s="186"/>
      <c r="D200" s="214" t="s">
        <v>413</v>
      </c>
      <c r="E200" s="210">
        <v>0.1</v>
      </c>
      <c r="F200" s="186"/>
      <c r="G200" s="187" t="s">
        <v>369</v>
      </c>
      <c r="I200" s="213" t="s">
        <v>413</v>
      </c>
      <c r="J200" s="211">
        <v>0.1</v>
      </c>
      <c r="L200" s="220" t="str">
        <f t="shared" si="23"/>
        <v>ok</v>
      </c>
      <c r="M200" s="220" t="str">
        <f t="shared" si="24"/>
        <v>ok</v>
      </c>
    </row>
    <row r="201" spans="2:13" x14ac:dyDescent="0.25">
      <c r="B201" s="203">
        <f t="shared" si="18"/>
        <v>196</v>
      </c>
      <c r="C201" s="186"/>
      <c r="D201" s="214" t="s">
        <v>115</v>
      </c>
      <c r="E201" s="210">
        <v>0.05</v>
      </c>
      <c r="F201" s="186"/>
      <c r="G201" s="187" t="s">
        <v>369</v>
      </c>
      <c r="I201" s="214" t="s">
        <v>115</v>
      </c>
      <c r="J201" s="211">
        <v>0.05</v>
      </c>
      <c r="L201" s="220" t="str">
        <f t="shared" si="23"/>
        <v>ok</v>
      </c>
      <c r="M201" s="220" t="str">
        <f t="shared" si="24"/>
        <v>ok</v>
      </c>
    </row>
    <row r="202" spans="2:13" x14ac:dyDescent="0.25">
      <c r="B202" s="203">
        <f t="shared" si="18"/>
        <v>197</v>
      </c>
      <c r="C202" s="186"/>
      <c r="D202" s="214" t="s">
        <v>112</v>
      </c>
      <c r="E202" s="210">
        <v>0.13</v>
      </c>
      <c r="F202" s="186"/>
      <c r="G202" s="187" t="s">
        <v>369</v>
      </c>
      <c r="I202" s="214" t="s">
        <v>112</v>
      </c>
      <c r="J202" s="211">
        <v>0.13</v>
      </c>
      <c r="L202" s="220" t="str">
        <f t="shared" si="23"/>
        <v>ok</v>
      </c>
      <c r="M202" s="220" t="str">
        <f t="shared" si="24"/>
        <v>ok</v>
      </c>
    </row>
    <row r="203" spans="2:13" x14ac:dyDescent="0.25">
      <c r="B203" s="203">
        <f t="shared" si="18"/>
        <v>198</v>
      </c>
      <c r="C203" s="186"/>
      <c r="D203" s="214" t="s">
        <v>205</v>
      </c>
      <c r="E203" s="211">
        <v>7.0000000000000007E-2</v>
      </c>
      <c r="F203" s="186"/>
      <c r="G203" s="187" t="s">
        <v>369</v>
      </c>
      <c r="I203" s="213" t="s">
        <v>205</v>
      </c>
      <c r="J203" s="211">
        <v>7.0000000000000007E-2</v>
      </c>
      <c r="L203" s="220" t="str">
        <f t="shared" si="23"/>
        <v>ok</v>
      </c>
      <c r="M203" s="220" t="str">
        <f t="shared" si="24"/>
        <v>ok</v>
      </c>
    </row>
    <row r="204" spans="2:13" x14ac:dyDescent="0.25">
      <c r="B204" s="203">
        <f t="shared" ref="B204:B267" si="25">B203+1</f>
        <v>199</v>
      </c>
      <c r="C204" s="186"/>
      <c r="D204" s="214" t="s">
        <v>593</v>
      </c>
      <c r="E204" s="211">
        <v>0.05</v>
      </c>
      <c r="F204" s="186"/>
      <c r="G204" s="187" t="s">
        <v>369</v>
      </c>
      <c r="I204" s="214" t="s">
        <v>593</v>
      </c>
      <c r="J204" s="211">
        <v>0.05</v>
      </c>
      <c r="L204" s="220" t="str">
        <f t="shared" si="23"/>
        <v>ok</v>
      </c>
      <c r="M204" s="220" t="str">
        <f t="shared" si="24"/>
        <v>ok</v>
      </c>
    </row>
    <row r="205" spans="2:13" x14ac:dyDescent="0.25">
      <c r="B205" s="203">
        <f t="shared" si="25"/>
        <v>200</v>
      </c>
      <c r="C205" s="186"/>
      <c r="D205" s="213" t="s">
        <v>414</v>
      </c>
      <c r="E205" s="211">
        <v>0.05</v>
      </c>
      <c r="F205" s="186"/>
      <c r="G205" s="187" t="s">
        <v>369</v>
      </c>
      <c r="I205" s="213" t="s">
        <v>414</v>
      </c>
      <c r="J205" s="211">
        <v>0.05</v>
      </c>
      <c r="L205" s="220" t="str">
        <f t="shared" si="23"/>
        <v>ok</v>
      </c>
      <c r="M205" s="220" t="str">
        <f t="shared" si="24"/>
        <v>ok</v>
      </c>
    </row>
    <row r="206" spans="2:13" x14ac:dyDescent="0.25">
      <c r="B206" s="203">
        <f t="shared" si="25"/>
        <v>201</v>
      </c>
      <c r="C206" s="186"/>
      <c r="D206" s="214" t="s">
        <v>158</v>
      </c>
      <c r="E206" s="211">
        <v>0.1</v>
      </c>
      <c r="F206" s="186"/>
      <c r="G206" s="187" t="s">
        <v>369</v>
      </c>
      <c r="I206" s="213" t="s">
        <v>158</v>
      </c>
      <c r="J206" s="211">
        <v>0.1</v>
      </c>
      <c r="L206" s="220" t="str">
        <f t="shared" si="23"/>
        <v>ok</v>
      </c>
      <c r="M206" s="220" t="str">
        <f t="shared" si="24"/>
        <v>ok</v>
      </c>
    </row>
    <row r="207" spans="2:13" x14ac:dyDescent="0.25">
      <c r="B207" s="203">
        <f t="shared" si="25"/>
        <v>202</v>
      </c>
      <c r="C207" s="186"/>
      <c r="D207" s="214" t="s">
        <v>437</v>
      </c>
      <c r="E207" s="211">
        <v>7.0000000000000007E-2</v>
      </c>
      <c r="F207" s="186"/>
      <c r="G207" s="187" t="s">
        <v>369</v>
      </c>
      <c r="I207" s="213" t="s">
        <v>437</v>
      </c>
      <c r="J207" s="211">
        <v>7.0000000000000007E-2</v>
      </c>
      <c r="L207" s="220" t="str">
        <f t="shared" si="23"/>
        <v>ok</v>
      </c>
      <c r="M207" s="220" t="str">
        <f t="shared" si="24"/>
        <v>ok</v>
      </c>
    </row>
    <row r="208" spans="2:13" x14ac:dyDescent="0.25">
      <c r="B208" s="203">
        <f t="shared" si="25"/>
        <v>203</v>
      </c>
      <c r="C208" s="186"/>
      <c r="D208" s="214" t="s">
        <v>333</v>
      </c>
      <c r="E208" s="211">
        <v>0.09</v>
      </c>
      <c r="F208" s="186"/>
      <c r="G208" s="187" t="s">
        <v>369</v>
      </c>
      <c r="I208" s="213" t="s">
        <v>333</v>
      </c>
      <c r="J208" s="211">
        <v>0.09</v>
      </c>
      <c r="L208" s="220" t="str">
        <f t="shared" si="23"/>
        <v>ok</v>
      </c>
      <c r="M208" s="220" t="str">
        <f t="shared" si="24"/>
        <v>ok</v>
      </c>
    </row>
    <row r="209" spans="2:13" x14ac:dyDescent="0.25">
      <c r="B209" s="203">
        <f t="shared" si="25"/>
        <v>204</v>
      </c>
      <c r="C209" s="186"/>
      <c r="D209" s="214" t="s">
        <v>440</v>
      </c>
      <c r="E209" s="211">
        <v>0.02</v>
      </c>
      <c r="F209" s="186"/>
      <c r="G209" s="187" t="s">
        <v>369</v>
      </c>
      <c r="I209" s="213" t="s">
        <v>440</v>
      </c>
      <c r="J209" s="211">
        <v>0.02</v>
      </c>
      <c r="L209" s="220" t="str">
        <f t="shared" si="23"/>
        <v>ok</v>
      </c>
      <c r="M209" s="220" t="str">
        <f t="shared" si="24"/>
        <v>ok</v>
      </c>
    </row>
    <row r="210" spans="2:13" x14ac:dyDescent="0.25">
      <c r="B210" s="203">
        <f t="shared" si="25"/>
        <v>205</v>
      </c>
      <c r="C210" s="186"/>
      <c r="D210" s="214" t="s">
        <v>245</v>
      </c>
      <c r="E210" s="210">
        <v>0.05</v>
      </c>
      <c r="F210" s="186"/>
      <c r="G210" s="187" t="s">
        <v>369</v>
      </c>
      <c r="I210" s="213" t="s">
        <v>245</v>
      </c>
      <c r="J210" s="211">
        <v>0.05</v>
      </c>
      <c r="L210" s="220" t="str">
        <f t="shared" si="23"/>
        <v>ok</v>
      </c>
      <c r="M210" s="220" t="str">
        <f t="shared" si="24"/>
        <v>ok</v>
      </c>
    </row>
    <row r="211" spans="2:13" x14ac:dyDescent="0.25">
      <c r="B211" s="203">
        <f t="shared" si="25"/>
        <v>206</v>
      </c>
      <c r="C211" s="186"/>
      <c r="D211" s="214" t="s">
        <v>426</v>
      </c>
      <c r="E211" s="210">
        <v>0.05</v>
      </c>
      <c r="F211" s="186"/>
      <c r="G211" s="187" t="s">
        <v>369</v>
      </c>
      <c r="I211" s="213" t="s">
        <v>426</v>
      </c>
      <c r="J211" s="211">
        <v>0.05</v>
      </c>
      <c r="L211" s="220" t="str">
        <f t="shared" si="23"/>
        <v>ok</v>
      </c>
      <c r="M211" s="220" t="str">
        <f t="shared" si="24"/>
        <v>ok</v>
      </c>
    </row>
    <row r="212" spans="2:13" x14ac:dyDescent="0.25">
      <c r="B212" s="203">
        <f t="shared" si="25"/>
        <v>207</v>
      </c>
      <c r="C212" s="186"/>
      <c r="D212" s="214" t="s">
        <v>259</v>
      </c>
      <c r="E212" s="210">
        <v>0.05</v>
      </c>
      <c r="F212" s="186"/>
      <c r="G212" s="187" t="s">
        <v>369</v>
      </c>
      <c r="I212" s="213" t="s">
        <v>259</v>
      </c>
      <c r="J212" s="211">
        <v>0.05</v>
      </c>
      <c r="L212" s="220" t="str">
        <f t="shared" si="23"/>
        <v>ok</v>
      </c>
      <c r="M212" s="220" t="str">
        <f t="shared" si="24"/>
        <v>ok</v>
      </c>
    </row>
    <row r="213" spans="2:13" x14ac:dyDescent="0.25">
      <c r="B213" s="203">
        <f t="shared" si="25"/>
        <v>208</v>
      </c>
      <c r="C213" s="186"/>
      <c r="D213" s="214" t="s">
        <v>155</v>
      </c>
      <c r="E213" s="211">
        <v>0.1</v>
      </c>
      <c r="F213" s="186"/>
      <c r="G213" s="187" t="s">
        <v>369</v>
      </c>
      <c r="I213" s="213" t="s">
        <v>155</v>
      </c>
      <c r="J213" s="211">
        <v>0.1</v>
      </c>
      <c r="L213" s="220" t="str">
        <f t="shared" si="23"/>
        <v>ok</v>
      </c>
      <c r="M213" s="220" t="str">
        <f t="shared" si="24"/>
        <v>ok</v>
      </c>
    </row>
    <row r="214" spans="2:13" x14ac:dyDescent="0.25">
      <c r="B214" s="203">
        <f t="shared" si="25"/>
        <v>209</v>
      </c>
      <c r="C214" s="186"/>
      <c r="D214" s="214" t="s">
        <v>331</v>
      </c>
      <c r="E214" s="211">
        <v>0</v>
      </c>
      <c r="F214" s="186"/>
      <c r="G214" s="187" t="s">
        <v>369</v>
      </c>
      <c r="I214" s="213" t="s">
        <v>331</v>
      </c>
      <c r="J214" s="211">
        <v>0</v>
      </c>
      <c r="L214" s="220" t="str">
        <f t="shared" si="23"/>
        <v>ok</v>
      </c>
      <c r="M214" s="220" t="str">
        <f t="shared" si="24"/>
        <v>ok</v>
      </c>
    </row>
    <row r="215" spans="2:13" x14ac:dyDescent="0.25">
      <c r="B215" s="203">
        <f t="shared" si="25"/>
        <v>210</v>
      </c>
      <c r="C215" s="186"/>
      <c r="D215" s="214" t="s">
        <v>272</v>
      </c>
      <c r="E215" s="210">
        <v>0.06</v>
      </c>
      <c r="F215" s="186"/>
      <c r="G215" s="187" t="s">
        <v>369</v>
      </c>
      <c r="I215" s="213" t="s">
        <v>272</v>
      </c>
      <c r="J215" s="211">
        <v>0.06</v>
      </c>
      <c r="L215" s="220" t="str">
        <f t="shared" ref="L215:L245" si="26">IF(D215=I215,"ok","RAZLIKA")</f>
        <v>ok</v>
      </c>
      <c r="M215" s="220" t="str">
        <f t="shared" ref="M215:M245" si="27">IF(E215=J215,"ok","RAZLIKA")</f>
        <v>ok</v>
      </c>
    </row>
    <row r="216" spans="2:13" x14ac:dyDescent="0.25">
      <c r="B216" s="203">
        <f t="shared" si="25"/>
        <v>211</v>
      </c>
      <c r="C216" s="186"/>
      <c r="D216" s="214" t="s">
        <v>126</v>
      </c>
      <c r="E216" s="210">
        <v>0.06</v>
      </c>
      <c r="F216" s="186"/>
      <c r="G216" s="187" t="s">
        <v>369</v>
      </c>
      <c r="I216" s="213" t="s">
        <v>126</v>
      </c>
      <c r="J216" s="211">
        <v>0.06</v>
      </c>
      <c r="L216" s="220" t="str">
        <f t="shared" si="26"/>
        <v>ok</v>
      </c>
      <c r="M216" s="220" t="str">
        <f t="shared" si="27"/>
        <v>ok</v>
      </c>
    </row>
    <row r="217" spans="2:13" x14ac:dyDescent="0.25">
      <c r="B217" s="203">
        <f t="shared" si="25"/>
        <v>212</v>
      </c>
      <c r="C217" s="186"/>
      <c r="D217" s="214" t="s">
        <v>215</v>
      </c>
      <c r="E217" s="210">
        <v>0</v>
      </c>
      <c r="F217" s="186"/>
      <c r="G217" s="187" t="s">
        <v>369</v>
      </c>
      <c r="I217" s="213" t="s">
        <v>215</v>
      </c>
      <c r="J217" s="211">
        <v>0</v>
      </c>
      <c r="L217" s="220" t="str">
        <f t="shared" si="26"/>
        <v>ok</v>
      </c>
      <c r="M217" s="220" t="str">
        <f t="shared" si="27"/>
        <v>ok</v>
      </c>
    </row>
    <row r="218" spans="2:13" x14ac:dyDescent="0.25">
      <c r="B218" s="203">
        <f t="shared" si="25"/>
        <v>213</v>
      </c>
      <c r="C218" s="186"/>
      <c r="D218" s="214" t="s">
        <v>600</v>
      </c>
      <c r="E218" s="210">
        <v>0.08</v>
      </c>
      <c r="F218" s="186"/>
      <c r="G218" s="187" t="s">
        <v>369</v>
      </c>
      <c r="I218" s="213" t="s">
        <v>600</v>
      </c>
      <c r="J218" s="211">
        <v>0.08</v>
      </c>
      <c r="L218" s="220" t="str">
        <f t="shared" si="26"/>
        <v>ok</v>
      </c>
      <c r="M218" s="220" t="str">
        <f t="shared" si="27"/>
        <v>ok</v>
      </c>
    </row>
    <row r="219" spans="2:13" x14ac:dyDescent="0.25">
      <c r="B219" s="203">
        <f t="shared" si="25"/>
        <v>214</v>
      </c>
      <c r="C219" s="186"/>
      <c r="D219" s="214" t="s">
        <v>452</v>
      </c>
      <c r="E219" s="210">
        <v>0.1</v>
      </c>
      <c r="F219" s="186"/>
      <c r="G219" s="187" t="s">
        <v>369</v>
      </c>
      <c r="I219" s="213" t="s">
        <v>452</v>
      </c>
      <c r="J219" s="211">
        <v>0.1</v>
      </c>
      <c r="L219" s="220" t="str">
        <f t="shared" si="26"/>
        <v>ok</v>
      </c>
      <c r="M219" s="220" t="str">
        <f t="shared" si="27"/>
        <v>ok</v>
      </c>
    </row>
    <row r="220" spans="2:13" x14ac:dyDescent="0.25">
      <c r="B220" s="203">
        <f t="shared" si="25"/>
        <v>215</v>
      </c>
      <c r="C220" s="186"/>
      <c r="D220" s="214" t="s">
        <v>303</v>
      </c>
      <c r="E220" s="210">
        <v>0.06</v>
      </c>
      <c r="F220" s="186"/>
      <c r="G220" s="187" t="s">
        <v>369</v>
      </c>
      <c r="I220" s="213" t="s">
        <v>303</v>
      </c>
      <c r="J220" s="211">
        <v>0.06</v>
      </c>
      <c r="L220" s="220" t="str">
        <f t="shared" si="26"/>
        <v>ok</v>
      </c>
      <c r="M220" s="220" t="str">
        <f t="shared" si="27"/>
        <v>ok</v>
      </c>
    </row>
    <row r="221" spans="2:13" x14ac:dyDescent="0.25">
      <c r="B221" s="203">
        <f t="shared" si="25"/>
        <v>216</v>
      </c>
      <c r="C221" s="186"/>
      <c r="D221" s="214" t="s">
        <v>231</v>
      </c>
      <c r="E221" s="210">
        <v>0.05</v>
      </c>
      <c r="F221" s="186"/>
      <c r="G221" s="187" t="s">
        <v>369</v>
      </c>
      <c r="I221" s="213" t="s">
        <v>231</v>
      </c>
      <c r="J221" s="211">
        <v>0.05</v>
      </c>
      <c r="L221" s="220" t="str">
        <f t="shared" si="26"/>
        <v>ok</v>
      </c>
      <c r="M221" s="220" t="str">
        <f t="shared" si="27"/>
        <v>ok</v>
      </c>
    </row>
    <row r="222" spans="2:13" x14ac:dyDescent="0.25">
      <c r="B222" s="203">
        <f t="shared" si="25"/>
        <v>217</v>
      </c>
      <c r="C222" s="186"/>
      <c r="D222" s="214" t="s">
        <v>311</v>
      </c>
      <c r="E222" s="210">
        <v>0.1</v>
      </c>
      <c r="F222" s="186"/>
      <c r="G222" s="187" t="s">
        <v>369</v>
      </c>
      <c r="I222" s="213" t="s">
        <v>311</v>
      </c>
      <c r="J222" s="211">
        <v>0.1</v>
      </c>
      <c r="L222" s="220" t="str">
        <f t="shared" si="26"/>
        <v>ok</v>
      </c>
      <c r="M222" s="220" t="str">
        <f t="shared" si="27"/>
        <v>ok</v>
      </c>
    </row>
    <row r="223" spans="2:13" x14ac:dyDescent="0.25">
      <c r="B223" s="203">
        <f t="shared" si="25"/>
        <v>218</v>
      </c>
      <c r="C223" s="186"/>
      <c r="D223" s="214" t="s">
        <v>254</v>
      </c>
      <c r="E223" s="210">
        <v>0.05</v>
      </c>
      <c r="F223" s="186"/>
      <c r="G223" s="187" t="s">
        <v>369</v>
      </c>
      <c r="I223" s="213" t="s">
        <v>254</v>
      </c>
      <c r="J223" s="211">
        <v>0.05</v>
      </c>
      <c r="L223" s="220" t="str">
        <f t="shared" si="26"/>
        <v>ok</v>
      </c>
      <c r="M223" s="220" t="str">
        <f t="shared" si="27"/>
        <v>ok</v>
      </c>
    </row>
    <row r="224" spans="2:13" x14ac:dyDescent="0.25">
      <c r="B224" s="203">
        <f t="shared" si="25"/>
        <v>219</v>
      </c>
      <c r="C224" s="186"/>
      <c r="D224" s="214" t="s">
        <v>323</v>
      </c>
      <c r="E224" s="211">
        <v>0</v>
      </c>
      <c r="F224" s="186"/>
      <c r="G224" s="187" t="s">
        <v>369</v>
      </c>
      <c r="I224" s="213" t="s">
        <v>323</v>
      </c>
      <c r="J224" s="211">
        <v>0</v>
      </c>
      <c r="L224" s="220" t="str">
        <f t="shared" si="26"/>
        <v>ok</v>
      </c>
      <c r="M224" s="220" t="str">
        <f t="shared" si="27"/>
        <v>ok</v>
      </c>
    </row>
    <row r="225" spans="2:13" x14ac:dyDescent="0.25">
      <c r="B225" s="203">
        <f t="shared" si="25"/>
        <v>220</v>
      </c>
      <c r="C225" s="186"/>
      <c r="D225" s="214" t="s">
        <v>116</v>
      </c>
      <c r="E225" s="210">
        <v>0.05</v>
      </c>
      <c r="F225" s="186"/>
      <c r="G225" s="187" t="s">
        <v>369</v>
      </c>
      <c r="I225" s="213" t="s">
        <v>116</v>
      </c>
      <c r="J225" s="211">
        <v>0.05</v>
      </c>
      <c r="L225" s="220" t="str">
        <f t="shared" si="26"/>
        <v>ok</v>
      </c>
      <c r="M225" s="220" t="str">
        <f t="shared" si="27"/>
        <v>ok</v>
      </c>
    </row>
    <row r="226" spans="2:13" x14ac:dyDescent="0.25">
      <c r="B226" s="203">
        <f t="shared" si="25"/>
        <v>221</v>
      </c>
      <c r="C226" s="186"/>
      <c r="D226" s="214" t="s">
        <v>235</v>
      </c>
      <c r="E226" s="210">
        <v>0.1</v>
      </c>
      <c r="F226" s="186"/>
      <c r="G226" s="187" t="s">
        <v>369</v>
      </c>
      <c r="I226" s="213" t="s">
        <v>235</v>
      </c>
      <c r="J226" s="211">
        <v>0.1</v>
      </c>
      <c r="L226" s="220" t="str">
        <f t="shared" si="26"/>
        <v>ok</v>
      </c>
      <c r="M226" s="220" t="str">
        <f t="shared" si="27"/>
        <v>ok</v>
      </c>
    </row>
    <row r="227" spans="2:13" x14ac:dyDescent="0.25">
      <c r="B227" s="203">
        <f t="shared" si="25"/>
        <v>222</v>
      </c>
      <c r="C227" s="186"/>
      <c r="D227" s="214" t="s">
        <v>246</v>
      </c>
      <c r="E227" s="210">
        <v>0.03</v>
      </c>
      <c r="F227" s="186"/>
      <c r="G227" s="187" t="s">
        <v>369</v>
      </c>
      <c r="I227" s="213" t="s">
        <v>246</v>
      </c>
      <c r="J227" s="211">
        <v>0.03</v>
      </c>
      <c r="L227" s="220" t="str">
        <f t="shared" si="26"/>
        <v>ok</v>
      </c>
      <c r="M227" s="220" t="str">
        <f t="shared" si="27"/>
        <v>ok</v>
      </c>
    </row>
    <row r="228" spans="2:13" x14ac:dyDescent="0.25">
      <c r="B228" s="203">
        <f t="shared" si="25"/>
        <v>223</v>
      </c>
      <c r="C228" s="186"/>
      <c r="D228" s="214" t="s">
        <v>152</v>
      </c>
      <c r="E228" s="210">
        <v>0.06</v>
      </c>
      <c r="F228" s="186"/>
      <c r="G228" s="187" t="s">
        <v>369</v>
      </c>
      <c r="I228" s="213" t="s">
        <v>152</v>
      </c>
      <c r="J228" s="211">
        <v>0.06</v>
      </c>
      <c r="L228" s="220" t="str">
        <f t="shared" si="26"/>
        <v>ok</v>
      </c>
      <c r="M228" s="220" t="str">
        <f t="shared" si="27"/>
        <v>ok</v>
      </c>
    </row>
    <row r="229" spans="2:13" x14ac:dyDescent="0.25">
      <c r="B229" s="203">
        <f t="shared" si="25"/>
        <v>224</v>
      </c>
      <c r="C229" s="186"/>
      <c r="D229" s="214" t="s">
        <v>210</v>
      </c>
      <c r="E229" s="211">
        <v>7.0000000000000007E-2</v>
      </c>
      <c r="F229" s="186"/>
      <c r="G229" s="187" t="s">
        <v>369</v>
      </c>
      <c r="I229" s="213" t="s">
        <v>210</v>
      </c>
      <c r="J229" s="211">
        <v>7.0000000000000007E-2</v>
      </c>
      <c r="L229" s="220" t="str">
        <f t="shared" si="26"/>
        <v>ok</v>
      </c>
      <c r="M229" s="220" t="str">
        <f t="shared" si="27"/>
        <v>ok</v>
      </c>
    </row>
    <row r="230" spans="2:13" x14ac:dyDescent="0.25">
      <c r="B230" s="203">
        <f t="shared" si="25"/>
        <v>225</v>
      </c>
      <c r="C230" s="186"/>
      <c r="D230" s="214" t="s">
        <v>146</v>
      </c>
      <c r="E230" s="210">
        <v>0.1</v>
      </c>
      <c r="F230" s="186"/>
      <c r="G230" s="187" t="s">
        <v>369</v>
      </c>
      <c r="I230" s="213" t="s">
        <v>146</v>
      </c>
      <c r="J230" s="211">
        <v>0.1</v>
      </c>
      <c r="L230" s="220" t="str">
        <f t="shared" si="26"/>
        <v>ok</v>
      </c>
      <c r="M230" s="220" t="str">
        <f t="shared" si="27"/>
        <v>ok</v>
      </c>
    </row>
    <row r="231" spans="2:13" x14ac:dyDescent="0.25">
      <c r="B231" s="203">
        <f t="shared" si="25"/>
        <v>226</v>
      </c>
      <c r="C231" s="186"/>
      <c r="D231" s="214" t="s">
        <v>135</v>
      </c>
      <c r="E231" s="210">
        <v>0.05</v>
      </c>
      <c r="F231" s="186"/>
      <c r="G231" s="187" t="s">
        <v>369</v>
      </c>
      <c r="I231" s="213" t="s">
        <v>135</v>
      </c>
      <c r="J231" s="211">
        <v>0.05</v>
      </c>
      <c r="L231" s="220" t="str">
        <f t="shared" si="26"/>
        <v>ok</v>
      </c>
      <c r="M231" s="220" t="str">
        <f t="shared" si="27"/>
        <v>ok</v>
      </c>
    </row>
    <row r="232" spans="2:13" x14ac:dyDescent="0.25">
      <c r="B232" s="203">
        <f t="shared" si="25"/>
        <v>227</v>
      </c>
      <c r="C232" s="186"/>
      <c r="D232" s="214" t="s">
        <v>273</v>
      </c>
      <c r="E232" s="210">
        <v>0.1</v>
      </c>
      <c r="F232" s="186"/>
      <c r="G232" s="187" t="s">
        <v>369</v>
      </c>
      <c r="I232" s="213" t="s">
        <v>273</v>
      </c>
      <c r="J232" s="211">
        <v>0.1</v>
      </c>
      <c r="L232" s="220" t="str">
        <f t="shared" si="26"/>
        <v>ok</v>
      </c>
      <c r="M232" s="220" t="str">
        <f t="shared" si="27"/>
        <v>ok</v>
      </c>
    </row>
    <row r="233" spans="2:13" x14ac:dyDescent="0.25">
      <c r="B233" s="203">
        <f t="shared" si="25"/>
        <v>228</v>
      </c>
      <c r="C233" s="186"/>
      <c r="D233" s="214" t="s">
        <v>304</v>
      </c>
      <c r="E233" s="210">
        <v>0.05</v>
      </c>
      <c r="F233" s="186"/>
      <c r="G233" s="187" t="s">
        <v>369</v>
      </c>
      <c r="I233" s="213" t="s">
        <v>304</v>
      </c>
      <c r="J233" s="211">
        <v>0.05</v>
      </c>
      <c r="L233" s="220" t="str">
        <f t="shared" si="26"/>
        <v>ok</v>
      </c>
      <c r="M233" s="220" t="str">
        <f t="shared" si="27"/>
        <v>ok</v>
      </c>
    </row>
    <row r="234" spans="2:13" x14ac:dyDescent="0.25">
      <c r="B234" s="203">
        <f t="shared" si="25"/>
        <v>229</v>
      </c>
      <c r="C234" s="186"/>
      <c r="D234" s="214" t="s">
        <v>261</v>
      </c>
      <c r="E234" s="211">
        <v>0</v>
      </c>
      <c r="F234" s="186"/>
      <c r="G234" s="187" t="s">
        <v>369</v>
      </c>
      <c r="I234" s="213" t="s">
        <v>261</v>
      </c>
      <c r="J234" s="211">
        <v>0</v>
      </c>
      <c r="L234" s="220" t="str">
        <f t="shared" si="26"/>
        <v>ok</v>
      </c>
      <c r="M234" s="220" t="str">
        <f t="shared" si="27"/>
        <v>ok</v>
      </c>
    </row>
    <row r="235" spans="2:13" x14ac:dyDescent="0.25">
      <c r="B235" s="203">
        <f t="shared" si="25"/>
        <v>230</v>
      </c>
      <c r="C235" s="186"/>
      <c r="D235" s="214" t="s">
        <v>297</v>
      </c>
      <c r="E235" s="210">
        <v>0.05</v>
      </c>
      <c r="F235" s="186"/>
      <c r="G235" s="187" t="s">
        <v>369</v>
      </c>
      <c r="I235" s="213" t="s">
        <v>297</v>
      </c>
      <c r="J235" s="211">
        <v>0.05</v>
      </c>
      <c r="L235" s="220" t="str">
        <f t="shared" si="26"/>
        <v>ok</v>
      </c>
      <c r="M235" s="220" t="str">
        <f t="shared" si="27"/>
        <v>ok</v>
      </c>
    </row>
    <row r="236" spans="2:13" x14ac:dyDescent="0.25">
      <c r="B236" s="203">
        <f t="shared" si="25"/>
        <v>231</v>
      </c>
      <c r="C236" s="186"/>
      <c r="D236" s="214" t="s">
        <v>343</v>
      </c>
      <c r="E236" s="210">
        <v>0.12</v>
      </c>
      <c r="F236" s="186"/>
      <c r="G236" s="187" t="s">
        <v>369</v>
      </c>
      <c r="I236" s="213" t="s">
        <v>343</v>
      </c>
      <c r="J236" s="211">
        <v>0.12</v>
      </c>
      <c r="L236" s="220" t="str">
        <f t="shared" si="26"/>
        <v>ok</v>
      </c>
      <c r="M236" s="220" t="str">
        <f t="shared" si="27"/>
        <v>ok</v>
      </c>
    </row>
    <row r="237" spans="2:13" x14ac:dyDescent="0.25">
      <c r="B237" s="203">
        <f t="shared" si="25"/>
        <v>232</v>
      </c>
      <c r="C237" s="186"/>
      <c r="D237" s="214" t="s">
        <v>144</v>
      </c>
      <c r="E237" s="210">
        <v>0.1</v>
      </c>
      <c r="F237" s="186"/>
      <c r="G237" s="187" t="s">
        <v>369</v>
      </c>
      <c r="I237" s="213" t="s">
        <v>144</v>
      </c>
      <c r="J237" s="211">
        <v>0.1</v>
      </c>
      <c r="L237" s="220" t="str">
        <f t="shared" si="26"/>
        <v>ok</v>
      </c>
      <c r="M237" s="220" t="str">
        <f t="shared" si="27"/>
        <v>ok</v>
      </c>
    </row>
    <row r="238" spans="2:13" x14ac:dyDescent="0.25">
      <c r="B238" s="203">
        <f t="shared" si="25"/>
        <v>233</v>
      </c>
      <c r="C238" s="186"/>
      <c r="D238" s="214" t="s">
        <v>594</v>
      </c>
      <c r="E238" s="210">
        <v>0.08</v>
      </c>
      <c r="F238" s="186"/>
      <c r="G238" s="187" t="s">
        <v>369</v>
      </c>
      <c r="I238" s="213" t="s">
        <v>594</v>
      </c>
      <c r="J238" s="211">
        <v>0.08</v>
      </c>
      <c r="L238" s="220" t="str">
        <f t="shared" si="26"/>
        <v>ok</v>
      </c>
      <c r="M238" s="220" t="str">
        <f t="shared" si="27"/>
        <v>ok</v>
      </c>
    </row>
    <row r="239" spans="2:13" x14ac:dyDescent="0.25">
      <c r="B239" s="203">
        <f t="shared" si="25"/>
        <v>234</v>
      </c>
      <c r="C239" s="186"/>
      <c r="D239" s="214" t="s">
        <v>136</v>
      </c>
      <c r="E239" s="210">
        <v>0.03</v>
      </c>
      <c r="F239" s="186"/>
      <c r="G239" s="187" t="s">
        <v>369</v>
      </c>
      <c r="I239" s="213" t="s">
        <v>136</v>
      </c>
      <c r="J239" s="211">
        <v>0.03</v>
      </c>
      <c r="L239" s="220" t="str">
        <f t="shared" si="26"/>
        <v>ok</v>
      </c>
      <c r="M239" s="220" t="str">
        <f t="shared" si="27"/>
        <v>ok</v>
      </c>
    </row>
    <row r="240" spans="2:13" x14ac:dyDescent="0.25">
      <c r="B240" s="203">
        <f t="shared" si="25"/>
        <v>235</v>
      </c>
      <c r="C240" s="186"/>
      <c r="D240" s="214" t="s">
        <v>161</v>
      </c>
      <c r="E240" s="210">
        <v>0.08</v>
      </c>
      <c r="F240" s="186"/>
      <c r="G240" s="187" t="s">
        <v>369</v>
      </c>
      <c r="I240" s="213" t="s">
        <v>161</v>
      </c>
      <c r="J240" s="211">
        <v>0.08</v>
      </c>
      <c r="L240" s="220" t="str">
        <f t="shared" si="26"/>
        <v>ok</v>
      </c>
      <c r="M240" s="220" t="str">
        <f t="shared" si="27"/>
        <v>ok</v>
      </c>
    </row>
    <row r="241" spans="2:13" x14ac:dyDescent="0.25">
      <c r="B241" s="203">
        <f t="shared" si="25"/>
        <v>236</v>
      </c>
      <c r="C241" s="186"/>
      <c r="D241" s="214" t="s">
        <v>332</v>
      </c>
      <c r="E241" s="210">
        <v>0.06</v>
      </c>
      <c r="F241" s="186"/>
      <c r="G241" s="187" t="s">
        <v>369</v>
      </c>
      <c r="I241" s="213" t="s">
        <v>332</v>
      </c>
      <c r="J241" s="211">
        <v>0.06</v>
      </c>
      <c r="L241" s="220" t="str">
        <f t="shared" si="26"/>
        <v>ok</v>
      </c>
      <c r="M241" s="220" t="str">
        <f t="shared" si="27"/>
        <v>ok</v>
      </c>
    </row>
    <row r="242" spans="2:13" x14ac:dyDescent="0.25">
      <c r="B242" s="203">
        <f t="shared" si="25"/>
        <v>237</v>
      </c>
      <c r="C242" s="186"/>
      <c r="D242" s="214" t="s">
        <v>197</v>
      </c>
      <c r="E242" s="210">
        <v>7.4999999999999997E-2</v>
      </c>
      <c r="F242" s="186"/>
      <c r="G242" s="187" t="s">
        <v>369</v>
      </c>
      <c r="I242" s="213" t="s">
        <v>197</v>
      </c>
      <c r="J242" s="211">
        <v>7.4999999999999997E-2</v>
      </c>
      <c r="L242" s="220" t="str">
        <f t="shared" si="26"/>
        <v>ok</v>
      </c>
      <c r="M242" s="220" t="str">
        <f t="shared" si="27"/>
        <v>ok</v>
      </c>
    </row>
    <row r="243" spans="2:13" x14ac:dyDescent="0.25">
      <c r="B243" s="203">
        <f t="shared" si="25"/>
        <v>238</v>
      </c>
      <c r="C243" s="186"/>
      <c r="D243" s="214" t="s">
        <v>220</v>
      </c>
      <c r="E243" s="210">
        <v>0.1</v>
      </c>
      <c r="F243" s="186"/>
      <c r="G243" s="187" t="s">
        <v>369</v>
      </c>
      <c r="I243" s="213" t="s">
        <v>220</v>
      </c>
      <c r="J243" s="211">
        <v>0.1</v>
      </c>
      <c r="L243" s="220" t="str">
        <f t="shared" si="26"/>
        <v>ok</v>
      </c>
      <c r="M243" s="220" t="str">
        <f t="shared" si="27"/>
        <v>ok</v>
      </c>
    </row>
    <row r="244" spans="2:13" x14ac:dyDescent="0.25">
      <c r="B244" s="203">
        <f t="shared" si="25"/>
        <v>239</v>
      </c>
      <c r="C244" s="186"/>
      <c r="D244" s="214" t="s">
        <v>159</v>
      </c>
      <c r="E244" s="210">
        <v>0.05</v>
      </c>
      <c r="F244" s="186"/>
      <c r="G244" s="187" t="s">
        <v>369</v>
      </c>
      <c r="I244" s="213" t="s">
        <v>159</v>
      </c>
      <c r="J244" s="211">
        <v>0.05</v>
      </c>
      <c r="L244" s="220" t="str">
        <f t="shared" si="26"/>
        <v>ok</v>
      </c>
      <c r="M244" s="220" t="str">
        <f t="shared" si="27"/>
        <v>ok</v>
      </c>
    </row>
    <row r="245" spans="2:13" x14ac:dyDescent="0.25">
      <c r="B245" s="203">
        <f t="shared" si="25"/>
        <v>240</v>
      </c>
      <c r="C245" s="186"/>
      <c r="D245" s="214" t="s">
        <v>199</v>
      </c>
      <c r="E245" s="211">
        <v>0.13</v>
      </c>
      <c r="F245" s="186"/>
      <c r="G245" s="187" t="s">
        <v>369</v>
      </c>
      <c r="I245" s="213" t="s">
        <v>199</v>
      </c>
      <c r="J245" s="211">
        <v>0.13</v>
      </c>
      <c r="L245" s="220" t="str">
        <f t="shared" si="26"/>
        <v>ok</v>
      </c>
      <c r="M245" s="220" t="str">
        <f t="shared" si="27"/>
        <v>ok</v>
      </c>
    </row>
    <row r="246" spans="2:13" x14ac:dyDescent="0.25">
      <c r="B246" s="203">
        <f t="shared" si="25"/>
        <v>241</v>
      </c>
      <c r="C246" s="186"/>
      <c r="D246" s="214" t="s">
        <v>350</v>
      </c>
      <c r="E246" s="210">
        <v>0.06</v>
      </c>
      <c r="F246" s="186"/>
      <c r="G246" s="187" t="s">
        <v>369</v>
      </c>
      <c r="I246" s="213" t="s">
        <v>350</v>
      </c>
      <c r="J246" s="211">
        <v>0.06</v>
      </c>
      <c r="L246" s="220" t="str">
        <f t="shared" ref="L246:L258" si="28">IF(D246=I246,"ok","RAZLIKA")</f>
        <v>ok</v>
      </c>
      <c r="M246" s="220" t="str">
        <f t="shared" ref="M246:M258" si="29">IF(E246=J246,"ok","RAZLIKA")</f>
        <v>ok</v>
      </c>
    </row>
    <row r="247" spans="2:13" x14ac:dyDescent="0.25">
      <c r="B247" s="203">
        <f t="shared" si="25"/>
        <v>242</v>
      </c>
      <c r="C247" s="186"/>
      <c r="D247" s="214" t="s">
        <v>119</v>
      </c>
      <c r="E247" s="211">
        <v>0</v>
      </c>
      <c r="F247" s="186"/>
      <c r="G247" s="187" t="s">
        <v>369</v>
      </c>
      <c r="I247" s="213" t="s">
        <v>119</v>
      </c>
      <c r="J247" s="211">
        <v>0</v>
      </c>
      <c r="L247" s="220" t="str">
        <f t="shared" si="28"/>
        <v>ok</v>
      </c>
      <c r="M247" s="220" t="str">
        <f t="shared" si="29"/>
        <v>ok</v>
      </c>
    </row>
    <row r="248" spans="2:13" x14ac:dyDescent="0.25">
      <c r="B248" s="203">
        <f t="shared" si="25"/>
        <v>243</v>
      </c>
      <c r="C248" s="186"/>
      <c r="D248" s="214" t="s">
        <v>305</v>
      </c>
      <c r="E248" s="210">
        <v>0.06</v>
      </c>
      <c r="F248" s="186"/>
      <c r="G248" s="187" t="s">
        <v>369</v>
      </c>
      <c r="I248" s="213" t="s">
        <v>305</v>
      </c>
      <c r="J248" s="211">
        <v>0.06</v>
      </c>
      <c r="L248" s="220" t="str">
        <f t="shared" si="28"/>
        <v>ok</v>
      </c>
      <c r="M248" s="220" t="str">
        <f t="shared" si="29"/>
        <v>ok</v>
      </c>
    </row>
    <row r="249" spans="2:13" x14ac:dyDescent="0.25">
      <c r="B249" s="203">
        <f t="shared" si="25"/>
        <v>244</v>
      </c>
      <c r="C249" s="186"/>
      <c r="D249" s="214" t="s">
        <v>262</v>
      </c>
      <c r="E249" s="210">
        <v>0.05</v>
      </c>
      <c r="F249" s="186"/>
      <c r="G249" s="187" t="s">
        <v>369</v>
      </c>
      <c r="I249" s="213" t="s">
        <v>262</v>
      </c>
      <c r="J249" s="211">
        <v>0.05</v>
      </c>
      <c r="L249" s="220" t="str">
        <f t="shared" si="28"/>
        <v>ok</v>
      </c>
      <c r="M249" s="220" t="str">
        <f t="shared" si="29"/>
        <v>ok</v>
      </c>
    </row>
    <row r="250" spans="2:13" x14ac:dyDescent="0.25">
      <c r="B250" s="203">
        <f t="shared" si="25"/>
        <v>245</v>
      </c>
      <c r="C250" s="186"/>
      <c r="D250" s="214" t="s">
        <v>453</v>
      </c>
      <c r="E250" s="210">
        <v>0.1</v>
      </c>
      <c r="F250" s="186"/>
      <c r="G250" s="187" t="s">
        <v>369</v>
      </c>
      <c r="I250" s="213" t="s">
        <v>453</v>
      </c>
      <c r="J250" s="211">
        <v>0.1</v>
      </c>
      <c r="L250" s="220" t="str">
        <f t="shared" si="28"/>
        <v>ok</v>
      </c>
      <c r="M250" s="220" t="str">
        <f t="shared" si="29"/>
        <v>ok</v>
      </c>
    </row>
    <row r="251" spans="2:13" x14ac:dyDescent="0.25">
      <c r="B251" s="203">
        <f t="shared" si="25"/>
        <v>246</v>
      </c>
      <c r="C251" s="186"/>
      <c r="D251" s="214" t="s">
        <v>232</v>
      </c>
      <c r="E251" s="210">
        <v>0.1</v>
      </c>
      <c r="F251" s="186"/>
      <c r="G251" s="187" t="s">
        <v>369</v>
      </c>
      <c r="I251" s="213" t="s">
        <v>232</v>
      </c>
      <c r="J251" s="211">
        <v>0.1</v>
      </c>
      <c r="L251" s="220" t="str">
        <f t="shared" si="28"/>
        <v>ok</v>
      </c>
      <c r="M251" s="220" t="str">
        <f t="shared" si="29"/>
        <v>ok</v>
      </c>
    </row>
    <row r="252" spans="2:13" x14ac:dyDescent="0.25">
      <c r="B252" s="203">
        <f t="shared" si="25"/>
        <v>247</v>
      </c>
      <c r="C252" s="186"/>
      <c r="D252" s="214" t="s">
        <v>315</v>
      </c>
      <c r="E252" s="210">
        <v>0</v>
      </c>
      <c r="F252" s="186"/>
      <c r="G252" s="187" t="s">
        <v>369</v>
      </c>
      <c r="I252" s="213" t="s">
        <v>315</v>
      </c>
      <c r="J252" s="211">
        <v>0</v>
      </c>
      <c r="L252" s="220" t="str">
        <f t="shared" si="28"/>
        <v>ok</v>
      </c>
      <c r="M252" s="220" t="str">
        <f t="shared" si="29"/>
        <v>ok</v>
      </c>
    </row>
    <row r="253" spans="2:13" x14ac:dyDescent="0.25">
      <c r="B253" s="203">
        <f t="shared" si="25"/>
        <v>248</v>
      </c>
      <c r="C253" s="186"/>
      <c r="D253" s="213" t="s">
        <v>653</v>
      </c>
      <c r="E253" s="211">
        <v>0.1</v>
      </c>
      <c r="F253" s="186"/>
      <c r="G253" s="187"/>
      <c r="I253" s="213" t="s">
        <v>653</v>
      </c>
      <c r="J253" s="211">
        <v>0.1</v>
      </c>
      <c r="L253" s="220" t="str">
        <f t="shared" si="28"/>
        <v>ok</v>
      </c>
      <c r="M253" s="220" t="str">
        <f t="shared" si="29"/>
        <v>ok</v>
      </c>
    </row>
    <row r="254" spans="2:13" x14ac:dyDescent="0.25">
      <c r="B254" s="203">
        <f t="shared" si="25"/>
        <v>249</v>
      </c>
      <c r="C254" s="186"/>
      <c r="D254" s="214" t="s">
        <v>274</v>
      </c>
      <c r="E254" s="210">
        <v>0.05</v>
      </c>
      <c r="F254" s="186"/>
      <c r="G254" s="187" t="s">
        <v>369</v>
      </c>
      <c r="I254" s="213" t="s">
        <v>274</v>
      </c>
      <c r="J254" s="211">
        <v>0.05</v>
      </c>
      <c r="L254" s="220" t="str">
        <f t="shared" si="28"/>
        <v>ok</v>
      </c>
      <c r="M254" s="220" t="str">
        <f t="shared" si="29"/>
        <v>ok</v>
      </c>
    </row>
    <row r="255" spans="2:13" x14ac:dyDescent="0.25">
      <c r="B255" s="203">
        <f t="shared" si="25"/>
        <v>250</v>
      </c>
      <c r="C255" s="186"/>
      <c r="D255" s="214" t="s">
        <v>415</v>
      </c>
      <c r="E255" s="210">
        <v>0.06</v>
      </c>
      <c r="F255" s="186"/>
      <c r="G255" s="187" t="s">
        <v>369</v>
      </c>
      <c r="I255" s="213" t="s">
        <v>415</v>
      </c>
      <c r="J255" s="211">
        <v>0.06</v>
      </c>
      <c r="L255" s="220" t="str">
        <f t="shared" si="28"/>
        <v>ok</v>
      </c>
      <c r="M255" s="220" t="str">
        <f t="shared" si="29"/>
        <v>ok</v>
      </c>
    </row>
    <row r="256" spans="2:13" x14ac:dyDescent="0.25">
      <c r="B256" s="203">
        <f t="shared" si="25"/>
        <v>251</v>
      </c>
      <c r="C256" s="186"/>
      <c r="D256" s="214" t="s">
        <v>226</v>
      </c>
      <c r="E256" s="211">
        <v>0.06</v>
      </c>
      <c r="F256" s="186"/>
      <c r="G256" s="187" t="s">
        <v>369</v>
      </c>
      <c r="I256" s="213" t="s">
        <v>226</v>
      </c>
      <c r="J256" s="211">
        <v>0.06</v>
      </c>
      <c r="L256" s="220" t="str">
        <f t="shared" si="28"/>
        <v>ok</v>
      </c>
      <c r="M256" s="220" t="str">
        <f t="shared" si="29"/>
        <v>ok</v>
      </c>
    </row>
    <row r="257" spans="2:13" x14ac:dyDescent="0.25">
      <c r="B257" s="203">
        <f t="shared" si="25"/>
        <v>252</v>
      </c>
      <c r="C257" s="186"/>
      <c r="D257" s="214" t="s">
        <v>160</v>
      </c>
      <c r="E257" s="210">
        <v>0.05</v>
      </c>
      <c r="F257" s="186"/>
      <c r="G257" s="187" t="s">
        <v>369</v>
      </c>
      <c r="I257" s="213" t="s">
        <v>160</v>
      </c>
      <c r="J257" s="211">
        <v>0.05</v>
      </c>
      <c r="L257" s="220" t="str">
        <f t="shared" si="28"/>
        <v>ok</v>
      </c>
      <c r="M257" s="220" t="str">
        <f t="shared" si="29"/>
        <v>ok</v>
      </c>
    </row>
    <row r="258" spans="2:13" x14ac:dyDescent="0.25">
      <c r="B258" s="203">
        <f t="shared" si="25"/>
        <v>253</v>
      </c>
      <c r="C258" s="186"/>
      <c r="D258" s="214" t="s">
        <v>319</v>
      </c>
      <c r="E258" s="210">
        <v>0.1</v>
      </c>
      <c r="F258" s="186"/>
      <c r="G258" s="187" t="s">
        <v>369</v>
      </c>
      <c r="I258" s="213" t="s">
        <v>319</v>
      </c>
      <c r="J258" s="211">
        <v>0.1</v>
      </c>
      <c r="L258" s="220" t="str">
        <f t="shared" si="28"/>
        <v>ok</v>
      </c>
      <c r="M258" s="220" t="str">
        <f t="shared" si="29"/>
        <v>ok</v>
      </c>
    </row>
    <row r="259" spans="2:13" x14ac:dyDescent="0.25">
      <c r="B259" s="203">
        <f t="shared" si="25"/>
        <v>254</v>
      </c>
      <c r="C259" s="186"/>
      <c r="D259" s="214" t="s">
        <v>322</v>
      </c>
      <c r="E259" s="210">
        <v>0.15</v>
      </c>
      <c r="F259" s="186"/>
      <c r="G259" s="187" t="s">
        <v>369</v>
      </c>
      <c r="I259" s="213" t="s">
        <v>322</v>
      </c>
      <c r="J259" s="211">
        <v>0.15</v>
      </c>
      <c r="L259" s="220" t="str">
        <f t="shared" ref="L259:L317" si="30">IF(D259=I259,"ok","RAZLIKA")</f>
        <v>ok</v>
      </c>
      <c r="M259" s="220" t="str">
        <f t="shared" ref="M259:M317" si="31">IF(E259=J259,"ok","RAZLIKA")</f>
        <v>ok</v>
      </c>
    </row>
    <row r="260" spans="2:13" x14ac:dyDescent="0.25">
      <c r="B260" s="203">
        <f t="shared" si="25"/>
        <v>255</v>
      </c>
      <c r="C260" s="186"/>
      <c r="D260" s="214" t="s">
        <v>179</v>
      </c>
      <c r="E260" s="210">
        <v>0.05</v>
      </c>
      <c r="F260" s="186"/>
      <c r="G260" s="187" t="s">
        <v>369</v>
      </c>
      <c r="I260" s="214" t="s">
        <v>179</v>
      </c>
      <c r="J260" s="211">
        <v>0.05</v>
      </c>
      <c r="L260" s="220" t="str">
        <f t="shared" si="30"/>
        <v>ok</v>
      </c>
      <c r="M260" s="220" t="str">
        <f t="shared" si="31"/>
        <v>ok</v>
      </c>
    </row>
    <row r="261" spans="2:13" x14ac:dyDescent="0.25">
      <c r="B261" s="203">
        <f t="shared" si="25"/>
        <v>256</v>
      </c>
      <c r="C261" s="186"/>
      <c r="D261" s="214" t="s">
        <v>225</v>
      </c>
      <c r="E261" s="210">
        <v>0.05</v>
      </c>
      <c r="F261" s="186"/>
      <c r="G261" s="187" t="s">
        <v>369</v>
      </c>
      <c r="I261" s="214" t="s">
        <v>225</v>
      </c>
      <c r="J261" s="211">
        <v>0.05</v>
      </c>
      <c r="L261" s="220" t="str">
        <f t="shared" si="30"/>
        <v>ok</v>
      </c>
      <c r="M261" s="220" t="str">
        <f t="shared" si="31"/>
        <v>ok</v>
      </c>
    </row>
    <row r="262" spans="2:13" x14ac:dyDescent="0.25">
      <c r="B262" s="203">
        <f t="shared" si="25"/>
        <v>257</v>
      </c>
      <c r="C262" s="186"/>
      <c r="D262" s="214" t="s">
        <v>454</v>
      </c>
      <c r="E262" s="210">
        <v>0.1</v>
      </c>
      <c r="F262" s="186"/>
      <c r="G262" s="187" t="s">
        <v>369</v>
      </c>
      <c r="I262" s="215" t="s">
        <v>454</v>
      </c>
      <c r="J262" s="211">
        <v>0.1</v>
      </c>
      <c r="L262" s="220" t="str">
        <f t="shared" si="30"/>
        <v>ok</v>
      </c>
      <c r="M262" s="220" t="str">
        <f t="shared" si="31"/>
        <v>ok</v>
      </c>
    </row>
    <row r="263" spans="2:13" x14ac:dyDescent="0.25">
      <c r="B263" s="203">
        <f t="shared" si="25"/>
        <v>258</v>
      </c>
      <c r="C263" s="186"/>
      <c r="D263" s="214" t="s">
        <v>283</v>
      </c>
      <c r="E263" s="210">
        <v>0.1</v>
      </c>
      <c r="F263" s="186"/>
      <c r="G263" s="187" t="s">
        <v>369</v>
      </c>
      <c r="I263" s="215" t="s">
        <v>283</v>
      </c>
      <c r="J263" s="211">
        <v>0.1</v>
      </c>
      <c r="L263" s="220" t="str">
        <f t="shared" si="30"/>
        <v>ok</v>
      </c>
      <c r="M263" s="220" t="str">
        <f t="shared" si="31"/>
        <v>ok</v>
      </c>
    </row>
    <row r="264" spans="2:13" x14ac:dyDescent="0.25">
      <c r="B264" s="203">
        <f t="shared" si="25"/>
        <v>259</v>
      </c>
      <c r="C264" s="186"/>
      <c r="D264" s="214" t="s">
        <v>221</v>
      </c>
      <c r="E264" s="210">
        <v>0.1</v>
      </c>
      <c r="F264" s="186"/>
      <c r="G264" s="187" t="s">
        <v>369</v>
      </c>
      <c r="I264" s="213" t="s">
        <v>221</v>
      </c>
      <c r="J264" s="211">
        <v>0.1</v>
      </c>
      <c r="L264" s="220" t="str">
        <f t="shared" si="30"/>
        <v>ok</v>
      </c>
      <c r="M264" s="220" t="str">
        <f t="shared" si="31"/>
        <v>ok</v>
      </c>
    </row>
    <row r="265" spans="2:13" x14ac:dyDescent="0.25">
      <c r="B265" s="203">
        <f t="shared" si="25"/>
        <v>260</v>
      </c>
      <c r="C265" s="186"/>
      <c r="D265" s="214" t="s">
        <v>128</v>
      </c>
      <c r="E265" s="210">
        <v>0.06</v>
      </c>
      <c r="F265" s="186"/>
      <c r="G265" s="187" t="s">
        <v>369</v>
      </c>
      <c r="I265" s="216" t="s">
        <v>128</v>
      </c>
      <c r="J265" s="211">
        <v>0.06</v>
      </c>
      <c r="L265" s="220" t="str">
        <f t="shared" si="30"/>
        <v>ok</v>
      </c>
      <c r="M265" s="220" t="str">
        <f t="shared" si="31"/>
        <v>ok</v>
      </c>
    </row>
    <row r="266" spans="2:13" x14ac:dyDescent="0.25">
      <c r="B266" s="203">
        <f t="shared" si="25"/>
        <v>261</v>
      </c>
      <c r="C266" s="186"/>
      <c r="D266" s="214" t="s">
        <v>586</v>
      </c>
      <c r="E266" s="210">
        <v>0.1</v>
      </c>
      <c r="F266" s="186"/>
      <c r="G266" s="187" t="s">
        <v>369</v>
      </c>
      <c r="I266" s="213" t="s">
        <v>586</v>
      </c>
      <c r="J266" s="211">
        <v>0.1</v>
      </c>
      <c r="L266" s="220" t="str">
        <f t="shared" si="30"/>
        <v>ok</v>
      </c>
      <c r="M266" s="220" t="str">
        <f t="shared" si="31"/>
        <v>ok</v>
      </c>
    </row>
    <row r="267" spans="2:13" x14ac:dyDescent="0.25">
      <c r="B267" s="203">
        <f t="shared" si="25"/>
        <v>262</v>
      </c>
      <c r="C267" s="186"/>
      <c r="D267" s="214" t="s">
        <v>298</v>
      </c>
      <c r="E267" s="210">
        <v>0.1</v>
      </c>
      <c r="F267" s="186"/>
      <c r="G267" s="187" t="s">
        <v>369</v>
      </c>
      <c r="I267" s="216" t="s">
        <v>298</v>
      </c>
      <c r="J267" s="211">
        <v>0.1</v>
      </c>
      <c r="L267" s="220" t="str">
        <f t="shared" si="30"/>
        <v>ok</v>
      </c>
      <c r="M267" s="220" t="str">
        <f t="shared" si="31"/>
        <v>ok</v>
      </c>
    </row>
    <row r="268" spans="2:13" x14ac:dyDescent="0.25">
      <c r="B268" s="203">
        <f t="shared" ref="B268:B331" si="32">B267+1</f>
        <v>263</v>
      </c>
      <c r="C268" s="186"/>
      <c r="D268" s="214" t="s">
        <v>462</v>
      </c>
      <c r="E268" s="210">
        <v>0.06</v>
      </c>
      <c r="F268" s="186"/>
      <c r="G268" s="187" t="s">
        <v>369</v>
      </c>
      <c r="I268" s="214" t="s">
        <v>462</v>
      </c>
      <c r="J268" s="210">
        <v>0.06</v>
      </c>
      <c r="L268" s="220" t="str">
        <f t="shared" si="30"/>
        <v>ok</v>
      </c>
      <c r="M268" s="220" t="str">
        <f t="shared" si="31"/>
        <v>ok</v>
      </c>
    </row>
    <row r="269" spans="2:13" ht="30" x14ac:dyDescent="0.25">
      <c r="B269" s="203">
        <f t="shared" si="32"/>
        <v>264</v>
      </c>
      <c r="C269" s="186"/>
      <c r="D269" s="214" t="s">
        <v>595</v>
      </c>
      <c r="E269" s="210">
        <v>0</v>
      </c>
      <c r="F269" s="186"/>
      <c r="G269" s="187" t="s">
        <v>369</v>
      </c>
      <c r="I269" s="214" t="s">
        <v>595</v>
      </c>
      <c r="J269" s="210">
        <v>0</v>
      </c>
      <c r="L269" s="220" t="str">
        <f t="shared" si="30"/>
        <v>ok</v>
      </c>
      <c r="M269" s="220" t="str">
        <f t="shared" si="31"/>
        <v>ok</v>
      </c>
    </row>
    <row r="270" spans="2:13" x14ac:dyDescent="0.25">
      <c r="B270" s="203">
        <f t="shared" si="32"/>
        <v>265</v>
      </c>
      <c r="C270" s="186"/>
      <c r="D270" s="214" t="s">
        <v>171</v>
      </c>
      <c r="E270" s="210">
        <v>0.05</v>
      </c>
      <c r="F270" s="186"/>
      <c r="G270" s="187" t="s">
        <v>369</v>
      </c>
      <c r="I270" s="213" t="s">
        <v>171</v>
      </c>
      <c r="J270" s="211">
        <v>0.05</v>
      </c>
      <c r="L270" s="220" t="str">
        <f t="shared" si="30"/>
        <v>ok</v>
      </c>
      <c r="M270" s="220" t="str">
        <f t="shared" si="31"/>
        <v>ok</v>
      </c>
    </row>
    <row r="271" spans="2:13" x14ac:dyDescent="0.25">
      <c r="B271" s="203">
        <f t="shared" si="32"/>
        <v>266</v>
      </c>
      <c r="C271" s="186"/>
      <c r="D271" s="214" t="s">
        <v>458</v>
      </c>
      <c r="E271" s="210">
        <v>0.1</v>
      </c>
      <c r="F271" s="186"/>
      <c r="G271" s="187" t="s">
        <v>369</v>
      </c>
      <c r="I271" s="213" t="s">
        <v>458</v>
      </c>
      <c r="J271" s="211">
        <v>0.1</v>
      </c>
      <c r="L271" s="220" t="str">
        <f t="shared" si="30"/>
        <v>ok</v>
      </c>
      <c r="M271" s="220" t="str">
        <f t="shared" si="31"/>
        <v>ok</v>
      </c>
    </row>
    <row r="272" spans="2:13" x14ac:dyDescent="0.25">
      <c r="B272" s="203">
        <f t="shared" si="32"/>
        <v>267</v>
      </c>
      <c r="C272" s="186"/>
      <c r="D272" s="214" t="s">
        <v>429</v>
      </c>
      <c r="E272" s="210">
        <v>0.1</v>
      </c>
      <c r="F272" s="186"/>
      <c r="G272" s="187" t="s">
        <v>369</v>
      </c>
      <c r="I272" s="213" t="s">
        <v>429</v>
      </c>
      <c r="J272" s="211">
        <v>0.1</v>
      </c>
      <c r="L272" s="220" t="str">
        <f t="shared" si="30"/>
        <v>ok</v>
      </c>
      <c r="M272" s="220" t="str">
        <f t="shared" si="31"/>
        <v>ok</v>
      </c>
    </row>
    <row r="273" spans="2:13" x14ac:dyDescent="0.25">
      <c r="B273" s="203">
        <f t="shared" si="32"/>
        <v>268</v>
      </c>
      <c r="C273" s="186"/>
      <c r="D273" s="214" t="s">
        <v>129</v>
      </c>
      <c r="E273" s="210">
        <v>0.12</v>
      </c>
      <c r="F273" s="186"/>
      <c r="G273" s="187" t="s">
        <v>369</v>
      </c>
      <c r="I273" s="216" t="s">
        <v>129</v>
      </c>
      <c r="J273" s="211">
        <v>0.12</v>
      </c>
      <c r="L273" s="220" t="str">
        <f t="shared" si="30"/>
        <v>ok</v>
      </c>
      <c r="M273" s="220" t="str">
        <f t="shared" si="31"/>
        <v>ok</v>
      </c>
    </row>
    <row r="274" spans="2:13" x14ac:dyDescent="0.25">
      <c r="B274" s="203">
        <f t="shared" si="32"/>
        <v>269</v>
      </c>
      <c r="C274" s="186"/>
      <c r="D274" s="214" t="s">
        <v>340</v>
      </c>
      <c r="E274" s="210">
        <v>0.05</v>
      </c>
      <c r="F274" s="186"/>
      <c r="G274" s="187" t="s">
        <v>369</v>
      </c>
      <c r="I274" s="213" t="s">
        <v>340</v>
      </c>
      <c r="J274" s="211">
        <v>0.05</v>
      </c>
      <c r="L274" s="220" t="str">
        <f t="shared" si="30"/>
        <v>ok</v>
      </c>
      <c r="M274" s="220" t="str">
        <f t="shared" si="31"/>
        <v>ok</v>
      </c>
    </row>
    <row r="275" spans="2:13" x14ac:dyDescent="0.25">
      <c r="B275" s="203">
        <f t="shared" si="32"/>
        <v>270</v>
      </c>
      <c r="C275" s="186"/>
      <c r="D275" s="214" t="s">
        <v>338</v>
      </c>
      <c r="E275" s="210">
        <v>7.0000000000000007E-2</v>
      </c>
      <c r="F275" s="186"/>
      <c r="G275" s="187" t="s">
        <v>369</v>
      </c>
      <c r="I275" s="216" t="s">
        <v>338</v>
      </c>
      <c r="J275" s="211">
        <v>7.0000000000000007E-2</v>
      </c>
      <c r="L275" s="220" t="str">
        <f t="shared" si="30"/>
        <v>ok</v>
      </c>
      <c r="M275" s="220" t="str">
        <f t="shared" si="31"/>
        <v>ok</v>
      </c>
    </row>
    <row r="276" spans="2:13" x14ac:dyDescent="0.25">
      <c r="B276" s="203">
        <f t="shared" si="32"/>
        <v>271</v>
      </c>
      <c r="C276" s="186"/>
      <c r="D276" s="214" t="s">
        <v>349</v>
      </c>
      <c r="E276" s="210">
        <v>0.05</v>
      </c>
      <c r="F276" s="186"/>
      <c r="G276" s="187" t="s">
        <v>369</v>
      </c>
      <c r="I276" s="213" t="s">
        <v>349</v>
      </c>
      <c r="J276" s="211">
        <v>0.05</v>
      </c>
      <c r="L276" s="220" t="str">
        <f t="shared" si="30"/>
        <v>ok</v>
      </c>
      <c r="M276" s="220" t="str">
        <f t="shared" si="31"/>
        <v>ok</v>
      </c>
    </row>
    <row r="277" spans="2:13" x14ac:dyDescent="0.25">
      <c r="B277" s="203">
        <f t="shared" si="32"/>
        <v>272</v>
      </c>
      <c r="C277" s="186"/>
      <c r="D277" s="214" t="s">
        <v>270</v>
      </c>
      <c r="E277" s="210">
        <v>0.1</v>
      </c>
      <c r="F277" s="186"/>
      <c r="G277" s="187" t="s">
        <v>369</v>
      </c>
      <c r="I277" s="213" t="s">
        <v>270</v>
      </c>
      <c r="J277" s="211">
        <v>0.1</v>
      </c>
      <c r="L277" s="220" t="str">
        <f t="shared" si="30"/>
        <v>ok</v>
      </c>
      <c r="M277" s="220" t="str">
        <f t="shared" si="31"/>
        <v>ok</v>
      </c>
    </row>
    <row r="278" spans="2:13" x14ac:dyDescent="0.25">
      <c r="B278" s="203">
        <f t="shared" si="32"/>
        <v>273</v>
      </c>
      <c r="C278" s="186"/>
      <c r="D278" s="214" t="s">
        <v>441</v>
      </c>
      <c r="E278" s="210">
        <v>0.1</v>
      </c>
      <c r="F278" s="186"/>
      <c r="G278" s="187" t="s">
        <v>369</v>
      </c>
      <c r="I278" s="213" t="s">
        <v>441</v>
      </c>
      <c r="J278" s="211">
        <v>0.1</v>
      </c>
      <c r="L278" s="220" t="str">
        <f t="shared" si="30"/>
        <v>ok</v>
      </c>
      <c r="M278" s="220" t="str">
        <f t="shared" si="31"/>
        <v>ok</v>
      </c>
    </row>
    <row r="279" spans="2:13" x14ac:dyDescent="0.25">
      <c r="B279" s="203">
        <f t="shared" si="32"/>
        <v>274</v>
      </c>
      <c r="C279" s="186"/>
      <c r="D279" s="214" t="s">
        <v>209</v>
      </c>
      <c r="E279" s="210">
        <v>0.09</v>
      </c>
      <c r="F279" s="186"/>
      <c r="G279" s="187" t="s">
        <v>369</v>
      </c>
      <c r="I279" s="213" t="s">
        <v>209</v>
      </c>
      <c r="J279" s="211">
        <v>0.09</v>
      </c>
      <c r="L279" s="220" t="str">
        <f t="shared" si="30"/>
        <v>ok</v>
      </c>
      <c r="M279" s="220" t="str">
        <f t="shared" si="31"/>
        <v>ok</v>
      </c>
    </row>
    <row r="280" spans="2:13" x14ac:dyDescent="0.25">
      <c r="B280" s="203">
        <f t="shared" si="32"/>
        <v>275</v>
      </c>
      <c r="C280" s="186"/>
      <c r="D280" s="214" t="s">
        <v>459</v>
      </c>
      <c r="E280" s="211">
        <v>0</v>
      </c>
      <c r="F280" s="186"/>
      <c r="G280" s="187" t="s">
        <v>369</v>
      </c>
      <c r="I280" s="213" t="s">
        <v>459</v>
      </c>
      <c r="J280" s="211">
        <v>0</v>
      </c>
      <c r="L280" s="220" t="str">
        <f t="shared" si="30"/>
        <v>ok</v>
      </c>
      <c r="M280" s="220" t="str">
        <f t="shared" si="31"/>
        <v>ok</v>
      </c>
    </row>
    <row r="281" spans="2:13" x14ac:dyDescent="0.25">
      <c r="B281" s="203">
        <f t="shared" si="32"/>
        <v>276</v>
      </c>
      <c r="C281" s="186"/>
      <c r="D281" s="214" t="s">
        <v>293</v>
      </c>
      <c r="E281" s="210">
        <v>0.05</v>
      </c>
      <c r="F281" s="186"/>
      <c r="G281" s="187" t="s">
        <v>369</v>
      </c>
      <c r="I281" s="213" t="s">
        <v>293</v>
      </c>
      <c r="J281" s="211">
        <v>0.05</v>
      </c>
      <c r="L281" s="220" t="str">
        <f t="shared" si="30"/>
        <v>ok</v>
      </c>
      <c r="M281" s="220" t="str">
        <f t="shared" si="31"/>
        <v>ok</v>
      </c>
    </row>
    <row r="282" spans="2:13" x14ac:dyDescent="0.25">
      <c r="B282" s="203">
        <f t="shared" si="32"/>
        <v>277</v>
      </c>
      <c r="C282" s="186"/>
      <c r="D282" s="214" t="s">
        <v>339</v>
      </c>
      <c r="E282" s="210">
        <v>0.05</v>
      </c>
      <c r="F282" s="186"/>
      <c r="G282" s="187" t="s">
        <v>369</v>
      </c>
      <c r="I282" s="213" t="s">
        <v>339</v>
      </c>
      <c r="J282" s="211">
        <v>0.05</v>
      </c>
      <c r="L282" s="220" t="str">
        <f t="shared" si="30"/>
        <v>ok</v>
      </c>
      <c r="M282" s="220" t="str">
        <f t="shared" si="31"/>
        <v>ok</v>
      </c>
    </row>
    <row r="283" spans="2:13" x14ac:dyDescent="0.25">
      <c r="B283" s="203">
        <f t="shared" si="32"/>
        <v>278</v>
      </c>
      <c r="C283" s="186"/>
      <c r="D283" s="214" t="s">
        <v>275</v>
      </c>
      <c r="E283" s="210">
        <v>0.09</v>
      </c>
      <c r="F283" s="186"/>
      <c r="G283" s="187" t="s">
        <v>369</v>
      </c>
      <c r="I283" s="213" t="s">
        <v>275</v>
      </c>
      <c r="J283" s="211">
        <v>0.09</v>
      </c>
      <c r="L283" s="220" t="str">
        <f t="shared" si="30"/>
        <v>ok</v>
      </c>
      <c r="M283" s="220" t="str">
        <f t="shared" si="31"/>
        <v>ok</v>
      </c>
    </row>
    <row r="284" spans="2:13" x14ac:dyDescent="0.25">
      <c r="B284" s="203">
        <f t="shared" si="32"/>
        <v>279</v>
      </c>
      <c r="C284" s="186"/>
      <c r="D284" s="214" t="s">
        <v>284</v>
      </c>
      <c r="E284" s="210">
        <v>0.05</v>
      </c>
      <c r="F284" s="186"/>
      <c r="G284" s="187" t="s">
        <v>369</v>
      </c>
      <c r="I284" s="213" t="s">
        <v>284</v>
      </c>
      <c r="J284" s="211">
        <v>0.05</v>
      </c>
      <c r="L284" s="220" t="str">
        <f t="shared" si="30"/>
        <v>ok</v>
      </c>
      <c r="M284" s="220" t="str">
        <f t="shared" si="31"/>
        <v>ok</v>
      </c>
    </row>
    <row r="285" spans="2:13" x14ac:dyDescent="0.25">
      <c r="B285" s="203">
        <f t="shared" si="32"/>
        <v>280</v>
      </c>
      <c r="C285" s="186"/>
      <c r="D285" s="214" t="s">
        <v>277</v>
      </c>
      <c r="E285" s="210">
        <v>0.06</v>
      </c>
      <c r="F285" s="186"/>
      <c r="G285" s="187" t="s">
        <v>369</v>
      </c>
      <c r="I285" s="213" t="s">
        <v>277</v>
      </c>
      <c r="J285" s="211">
        <v>0.06</v>
      </c>
      <c r="L285" s="220" t="str">
        <f t="shared" si="30"/>
        <v>ok</v>
      </c>
      <c r="M285" s="220" t="str">
        <f t="shared" si="31"/>
        <v>ok</v>
      </c>
    </row>
    <row r="286" spans="2:13" x14ac:dyDescent="0.25">
      <c r="B286" s="203">
        <f t="shared" si="32"/>
        <v>281</v>
      </c>
      <c r="C286" s="186"/>
      <c r="D286" s="214" t="s">
        <v>180</v>
      </c>
      <c r="E286" s="211">
        <v>7.0000000000000007E-2</v>
      </c>
      <c r="F286" s="186"/>
      <c r="G286" s="187" t="s">
        <v>369</v>
      </c>
      <c r="I286" s="213" t="s">
        <v>180</v>
      </c>
      <c r="J286" s="211">
        <v>7.0000000000000007E-2</v>
      </c>
      <c r="L286" s="220" t="str">
        <f t="shared" si="30"/>
        <v>ok</v>
      </c>
      <c r="M286" s="220" t="str">
        <f t="shared" si="31"/>
        <v>ok</v>
      </c>
    </row>
    <row r="287" spans="2:13" x14ac:dyDescent="0.25">
      <c r="B287" s="203">
        <f t="shared" si="32"/>
        <v>282</v>
      </c>
      <c r="C287" s="186"/>
      <c r="D287" s="214" t="s">
        <v>324</v>
      </c>
      <c r="E287" s="210">
        <v>0.08</v>
      </c>
      <c r="F287" s="186"/>
      <c r="G287" s="187" t="s">
        <v>369</v>
      </c>
      <c r="I287" s="213" t="s">
        <v>324</v>
      </c>
      <c r="J287" s="211">
        <v>0.08</v>
      </c>
      <c r="L287" s="220" t="str">
        <f t="shared" si="30"/>
        <v>ok</v>
      </c>
      <c r="M287" s="220" t="str">
        <f t="shared" si="31"/>
        <v>ok</v>
      </c>
    </row>
    <row r="288" spans="2:13" x14ac:dyDescent="0.25">
      <c r="B288" s="203">
        <f t="shared" si="32"/>
        <v>283</v>
      </c>
      <c r="C288" s="186"/>
      <c r="D288" s="214" t="s">
        <v>361</v>
      </c>
      <c r="E288" s="210">
        <v>0.1</v>
      </c>
      <c r="F288" s="186"/>
      <c r="G288" s="187" t="s">
        <v>369</v>
      </c>
      <c r="I288" s="213" t="s">
        <v>361</v>
      </c>
      <c r="J288" s="211">
        <v>0.1</v>
      </c>
      <c r="L288" s="220" t="str">
        <f t="shared" si="30"/>
        <v>ok</v>
      </c>
      <c r="M288" s="220" t="str">
        <f t="shared" si="31"/>
        <v>ok</v>
      </c>
    </row>
    <row r="289" spans="2:13" x14ac:dyDescent="0.25">
      <c r="B289" s="203">
        <f t="shared" si="32"/>
        <v>284</v>
      </c>
      <c r="C289" s="186"/>
      <c r="D289" s="214" t="s">
        <v>312</v>
      </c>
      <c r="E289" s="210">
        <v>0.1</v>
      </c>
      <c r="F289" s="186"/>
      <c r="G289" s="187" t="s">
        <v>369</v>
      </c>
      <c r="I289" s="213" t="s">
        <v>312</v>
      </c>
      <c r="J289" s="211">
        <v>0.1</v>
      </c>
      <c r="L289" s="220" t="str">
        <f t="shared" si="30"/>
        <v>ok</v>
      </c>
      <c r="M289" s="220" t="str">
        <f t="shared" si="31"/>
        <v>ok</v>
      </c>
    </row>
    <row r="290" spans="2:13" x14ac:dyDescent="0.25">
      <c r="B290" s="203">
        <f t="shared" si="32"/>
        <v>285</v>
      </c>
      <c r="C290" s="186"/>
      <c r="D290" s="214" t="s">
        <v>204</v>
      </c>
      <c r="E290" s="210">
        <v>0.05</v>
      </c>
      <c r="F290" s="186"/>
      <c r="G290" s="187" t="s">
        <v>369</v>
      </c>
      <c r="I290" s="213" t="s">
        <v>204</v>
      </c>
      <c r="J290" s="211">
        <v>0.05</v>
      </c>
      <c r="L290" s="220" t="str">
        <f t="shared" si="30"/>
        <v>ok</v>
      </c>
      <c r="M290" s="220" t="str">
        <f t="shared" si="31"/>
        <v>ok</v>
      </c>
    </row>
    <row r="291" spans="2:13" x14ac:dyDescent="0.25">
      <c r="B291" s="203">
        <f t="shared" si="32"/>
        <v>286</v>
      </c>
      <c r="C291" s="186"/>
      <c r="D291" s="214" t="s">
        <v>327</v>
      </c>
      <c r="E291" s="210">
        <v>0.06</v>
      </c>
      <c r="F291" s="186"/>
      <c r="G291" s="187" t="s">
        <v>369</v>
      </c>
      <c r="I291" s="213" t="s">
        <v>327</v>
      </c>
      <c r="J291" s="211">
        <v>0.06</v>
      </c>
      <c r="L291" s="220" t="str">
        <f t="shared" si="30"/>
        <v>ok</v>
      </c>
      <c r="M291" s="220" t="str">
        <f t="shared" si="31"/>
        <v>ok</v>
      </c>
    </row>
    <row r="292" spans="2:13" x14ac:dyDescent="0.25">
      <c r="B292" s="203">
        <f t="shared" si="32"/>
        <v>287</v>
      </c>
      <c r="C292" s="186"/>
      <c r="D292" s="214" t="s">
        <v>263</v>
      </c>
      <c r="E292" s="210">
        <v>0.05</v>
      </c>
      <c r="F292" s="186"/>
      <c r="G292" s="187" t="s">
        <v>369</v>
      </c>
      <c r="I292" s="213" t="s">
        <v>263</v>
      </c>
      <c r="J292" s="211">
        <v>0.05</v>
      </c>
      <c r="L292" s="220" t="str">
        <f t="shared" si="30"/>
        <v>ok</v>
      </c>
      <c r="M292" s="220" t="str">
        <f t="shared" si="31"/>
        <v>ok</v>
      </c>
    </row>
    <row r="293" spans="2:13" x14ac:dyDescent="0.25">
      <c r="B293" s="203">
        <f t="shared" si="32"/>
        <v>288</v>
      </c>
      <c r="C293" s="186"/>
      <c r="D293" s="214" t="s">
        <v>256</v>
      </c>
      <c r="E293" s="211">
        <v>0.08</v>
      </c>
      <c r="F293" s="186"/>
      <c r="G293" s="187" t="s">
        <v>369</v>
      </c>
      <c r="I293" s="213" t="s">
        <v>256</v>
      </c>
      <c r="J293" s="211">
        <v>0.08</v>
      </c>
      <c r="L293" s="220" t="str">
        <f t="shared" si="30"/>
        <v>ok</v>
      </c>
      <c r="M293" s="220" t="str">
        <f t="shared" si="31"/>
        <v>ok</v>
      </c>
    </row>
    <row r="294" spans="2:13" x14ac:dyDescent="0.25">
      <c r="B294" s="203">
        <f t="shared" si="32"/>
        <v>289</v>
      </c>
      <c r="C294" s="186"/>
      <c r="D294" s="214" t="s">
        <v>176</v>
      </c>
      <c r="E294" s="211">
        <v>7.4999999999999997E-2</v>
      </c>
      <c r="F294" s="186"/>
      <c r="G294" s="187" t="s">
        <v>369</v>
      </c>
      <c r="I294" s="213" t="s">
        <v>176</v>
      </c>
      <c r="J294" s="211">
        <v>7.4999999999999997E-2</v>
      </c>
      <c r="L294" s="220" t="str">
        <f t="shared" si="30"/>
        <v>ok</v>
      </c>
      <c r="M294" s="220" t="str">
        <f t="shared" si="31"/>
        <v>ok</v>
      </c>
    </row>
    <row r="295" spans="2:13" x14ac:dyDescent="0.25">
      <c r="B295" s="203">
        <f t="shared" si="32"/>
        <v>290</v>
      </c>
      <c r="C295" s="186"/>
      <c r="D295" s="214" t="s">
        <v>174</v>
      </c>
      <c r="E295" s="210">
        <v>0.1</v>
      </c>
      <c r="F295" s="186"/>
      <c r="G295" s="187" t="s">
        <v>369</v>
      </c>
      <c r="I295" s="213" t="s">
        <v>174</v>
      </c>
      <c r="J295" s="211">
        <v>0.1</v>
      </c>
      <c r="L295" s="220" t="str">
        <f t="shared" si="30"/>
        <v>ok</v>
      </c>
      <c r="M295" s="220" t="str">
        <f t="shared" si="31"/>
        <v>ok</v>
      </c>
    </row>
    <row r="296" spans="2:13" x14ac:dyDescent="0.25">
      <c r="B296" s="203">
        <f t="shared" si="32"/>
        <v>291</v>
      </c>
      <c r="C296" s="186"/>
      <c r="D296" s="214" t="s">
        <v>362</v>
      </c>
      <c r="E296" s="210">
        <v>0.09</v>
      </c>
      <c r="F296" s="186"/>
      <c r="G296" s="187" t="s">
        <v>369</v>
      </c>
      <c r="I296" s="213" t="s">
        <v>362</v>
      </c>
      <c r="J296" s="211">
        <v>0.09</v>
      </c>
      <c r="L296" s="220" t="str">
        <f t="shared" si="30"/>
        <v>ok</v>
      </c>
      <c r="M296" s="220" t="str">
        <f t="shared" si="31"/>
        <v>ok</v>
      </c>
    </row>
    <row r="297" spans="2:13" x14ac:dyDescent="0.25">
      <c r="B297" s="203">
        <f t="shared" si="32"/>
        <v>292</v>
      </c>
      <c r="C297" s="186"/>
      <c r="D297" s="214" t="s">
        <v>113</v>
      </c>
      <c r="E297" s="210">
        <v>0.12</v>
      </c>
      <c r="F297" s="186"/>
      <c r="G297" s="187" t="s">
        <v>369</v>
      </c>
      <c r="I297" s="213" t="s">
        <v>113</v>
      </c>
      <c r="J297" s="211">
        <v>0.12</v>
      </c>
      <c r="L297" s="220" t="str">
        <f t="shared" si="30"/>
        <v>ok</v>
      </c>
      <c r="M297" s="220" t="str">
        <f t="shared" si="31"/>
        <v>ok</v>
      </c>
    </row>
    <row r="298" spans="2:13" x14ac:dyDescent="0.25">
      <c r="B298" s="203">
        <f t="shared" si="32"/>
        <v>293</v>
      </c>
      <c r="C298" s="186"/>
      <c r="D298" s="214" t="s">
        <v>233</v>
      </c>
      <c r="E298" s="210">
        <v>7.0000000000000007E-2</v>
      </c>
      <c r="F298" s="186"/>
      <c r="G298" s="187" t="s">
        <v>369</v>
      </c>
      <c r="I298" s="213" t="s">
        <v>233</v>
      </c>
      <c r="J298" s="211">
        <v>7.0000000000000007E-2</v>
      </c>
      <c r="L298" s="220" t="str">
        <f t="shared" si="30"/>
        <v>ok</v>
      </c>
      <c r="M298" s="220" t="str">
        <f t="shared" si="31"/>
        <v>ok</v>
      </c>
    </row>
    <row r="299" spans="2:13" x14ac:dyDescent="0.25">
      <c r="B299" s="203">
        <f t="shared" si="32"/>
        <v>294</v>
      </c>
      <c r="C299" s="186"/>
      <c r="D299" s="214" t="s">
        <v>170</v>
      </c>
      <c r="E299" s="211">
        <v>0.05</v>
      </c>
      <c r="F299" s="186"/>
      <c r="G299" s="187" t="s">
        <v>369</v>
      </c>
      <c r="I299" s="213" t="s">
        <v>170</v>
      </c>
      <c r="J299" s="211">
        <v>0.05</v>
      </c>
      <c r="L299" s="220" t="str">
        <f t="shared" si="30"/>
        <v>ok</v>
      </c>
      <c r="M299" s="220" t="str">
        <f t="shared" si="31"/>
        <v>ok</v>
      </c>
    </row>
    <row r="300" spans="2:13" x14ac:dyDescent="0.25">
      <c r="B300" s="203">
        <f t="shared" si="32"/>
        <v>295</v>
      </c>
      <c r="C300" s="186"/>
      <c r="D300" s="214" t="s">
        <v>147</v>
      </c>
      <c r="E300" s="211">
        <v>0</v>
      </c>
      <c r="F300" s="186"/>
      <c r="G300" s="187" t="s">
        <v>369</v>
      </c>
      <c r="I300" s="213" t="s">
        <v>147</v>
      </c>
      <c r="J300" s="211">
        <v>0</v>
      </c>
      <c r="L300" s="220" t="str">
        <f t="shared" si="30"/>
        <v>ok</v>
      </c>
      <c r="M300" s="220" t="str">
        <f t="shared" si="31"/>
        <v>ok</v>
      </c>
    </row>
    <row r="301" spans="2:13" x14ac:dyDescent="0.25">
      <c r="B301" s="203">
        <f t="shared" si="32"/>
        <v>296</v>
      </c>
      <c r="C301" s="186"/>
      <c r="D301" s="214" t="s">
        <v>181</v>
      </c>
      <c r="E301" s="211">
        <v>7.0000000000000007E-2</v>
      </c>
      <c r="F301" s="186"/>
      <c r="G301" s="187" t="s">
        <v>369</v>
      </c>
      <c r="I301" s="213" t="s">
        <v>181</v>
      </c>
      <c r="J301" s="211">
        <v>7.0000000000000007E-2</v>
      </c>
      <c r="L301" s="220" t="str">
        <f t="shared" si="30"/>
        <v>ok</v>
      </c>
      <c r="M301" s="220" t="str">
        <f t="shared" si="31"/>
        <v>ok</v>
      </c>
    </row>
    <row r="302" spans="2:13" x14ac:dyDescent="0.25">
      <c r="B302" s="203">
        <f t="shared" si="32"/>
        <v>297</v>
      </c>
      <c r="C302" s="186"/>
      <c r="D302" s="214" t="s">
        <v>182</v>
      </c>
      <c r="E302" s="210">
        <v>0.05</v>
      </c>
      <c r="F302" s="186"/>
      <c r="G302" s="187" t="s">
        <v>369</v>
      </c>
      <c r="I302" s="213" t="s">
        <v>182</v>
      </c>
      <c r="J302" s="211">
        <v>0.05</v>
      </c>
      <c r="L302" s="220" t="str">
        <f t="shared" si="30"/>
        <v>ok</v>
      </c>
      <c r="M302" s="220" t="str">
        <f t="shared" si="31"/>
        <v>ok</v>
      </c>
    </row>
    <row r="303" spans="2:13" x14ac:dyDescent="0.25">
      <c r="B303" s="203">
        <f t="shared" si="32"/>
        <v>298</v>
      </c>
      <c r="C303" s="186"/>
      <c r="D303" s="214" t="s">
        <v>278</v>
      </c>
      <c r="E303" s="211">
        <v>0.1</v>
      </c>
      <c r="F303" s="186"/>
      <c r="G303" s="187" t="s">
        <v>369</v>
      </c>
      <c r="I303" s="213" t="s">
        <v>278</v>
      </c>
      <c r="J303" s="211">
        <v>0.1</v>
      </c>
      <c r="L303" s="220" t="str">
        <f t="shared" si="30"/>
        <v>ok</v>
      </c>
      <c r="M303" s="220" t="str">
        <f t="shared" si="31"/>
        <v>ok</v>
      </c>
    </row>
    <row r="304" spans="2:13" x14ac:dyDescent="0.25">
      <c r="B304" s="203">
        <f t="shared" si="32"/>
        <v>299</v>
      </c>
      <c r="C304" s="186"/>
      <c r="D304" s="214" t="s">
        <v>208</v>
      </c>
      <c r="E304" s="210">
        <v>0.1</v>
      </c>
      <c r="F304" s="186"/>
      <c r="G304" s="187" t="s">
        <v>369</v>
      </c>
      <c r="I304" s="213" t="s">
        <v>208</v>
      </c>
      <c r="J304" s="211">
        <v>0.1</v>
      </c>
      <c r="L304" s="220" t="str">
        <f t="shared" si="30"/>
        <v>ok</v>
      </c>
      <c r="M304" s="220" t="str">
        <f t="shared" si="31"/>
        <v>ok</v>
      </c>
    </row>
    <row r="305" spans="2:13" x14ac:dyDescent="0.25">
      <c r="B305" s="203">
        <f t="shared" si="32"/>
        <v>300</v>
      </c>
      <c r="C305" s="186"/>
      <c r="D305" s="214" t="s">
        <v>325</v>
      </c>
      <c r="E305" s="210">
        <v>0.03</v>
      </c>
      <c r="F305" s="186"/>
      <c r="G305" s="187" t="s">
        <v>369</v>
      </c>
      <c r="I305" s="213" t="s">
        <v>325</v>
      </c>
      <c r="J305" s="211">
        <v>0.03</v>
      </c>
      <c r="L305" s="220" t="str">
        <f t="shared" si="30"/>
        <v>ok</v>
      </c>
      <c r="M305" s="220" t="str">
        <f t="shared" si="31"/>
        <v>ok</v>
      </c>
    </row>
    <row r="306" spans="2:13" x14ac:dyDescent="0.25">
      <c r="B306" s="203">
        <f t="shared" si="32"/>
        <v>301</v>
      </c>
      <c r="C306" s="186"/>
      <c r="D306" s="214" t="s">
        <v>175</v>
      </c>
      <c r="E306" s="210">
        <v>0.1</v>
      </c>
      <c r="F306" s="186"/>
      <c r="G306" s="187" t="s">
        <v>369</v>
      </c>
      <c r="I306" s="213" t="s">
        <v>175</v>
      </c>
      <c r="J306" s="211">
        <v>0.1</v>
      </c>
      <c r="L306" s="220" t="str">
        <f t="shared" si="30"/>
        <v>ok</v>
      </c>
      <c r="M306" s="220" t="str">
        <f t="shared" si="31"/>
        <v>ok</v>
      </c>
    </row>
    <row r="307" spans="2:13" x14ac:dyDescent="0.25">
      <c r="B307" s="203">
        <f t="shared" si="32"/>
        <v>302</v>
      </c>
      <c r="C307" s="186"/>
      <c r="D307" s="214" t="s">
        <v>341</v>
      </c>
      <c r="E307" s="210">
        <v>0.05</v>
      </c>
      <c r="F307" s="186"/>
      <c r="G307" s="187" t="s">
        <v>369</v>
      </c>
      <c r="I307" s="213" t="s">
        <v>341</v>
      </c>
      <c r="J307" s="211">
        <v>0.05</v>
      </c>
      <c r="L307" s="220" t="str">
        <f t="shared" si="30"/>
        <v>ok</v>
      </c>
      <c r="M307" s="220" t="str">
        <f t="shared" si="31"/>
        <v>ok</v>
      </c>
    </row>
    <row r="308" spans="2:13" x14ac:dyDescent="0.25">
      <c r="B308" s="203">
        <f t="shared" si="32"/>
        <v>303</v>
      </c>
      <c r="C308" s="186"/>
      <c r="D308" s="214" t="s">
        <v>342</v>
      </c>
      <c r="E308" s="210">
        <v>0.03</v>
      </c>
      <c r="F308" s="186"/>
      <c r="G308" s="187" t="s">
        <v>369</v>
      </c>
      <c r="I308" s="213" t="s">
        <v>342</v>
      </c>
      <c r="J308" s="211">
        <v>0.03</v>
      </c>
      <c r="L308" s="220" t="str">
        <f t="shared" si="30"/>
        <v>ok</v>
      </c>
      <c r="M308" s="220" t="str">
        <f t="shared" si="31"/>
        <v>ok</v>
      </c>
    </row>
    <row r="309" spans="2:13" x14ac:dyDescent="0.25">
      <c r="B309" s="203">
        <f t="shared" si="32"/>
        <v>304</v>
      </c>
      <c r="C309" s="186"/>
      <c r="D309" s="214" t="s">
        <v>428</v>
      </c>
      <c r="E309" s="210">
        <v>0.1</v>
      </c>
      <c r="F309" s="186"/>
      <c r="G309" s="187" t="s">
        <v>369</v>
      </c>
      <c r="I309" s="213" t="s">
        <v>428</v>
      </c>
      <c r="J309" s="211">
        <v>0.1</v>
      </c>
      <c r="L309" s="220" t="str">
        <f t="shared" si="30"/>
        <v>ok</v>
      </c>
      <c r="M309" s="220" t="str">
        <f t="shared" si="31"/>
        <v>ok</v>
      </c>
    </row>
    <row r="310" spans="2:13" x14ac:dyDescent="0.25">
      <c r="B310" s="203">
        <f t="shared" si="32"/>
        <v>305</v>
      </c>
      <c r="C310" s="186"/>
      <c r="D310" s="214" t="s">
        <v>276</v>
      </c>
      <c r="E310" s="211">
        <v>0</v>
      </c>
      <c r="F310" s="186"/>
      <c r="G310" s="187" t="s">
        <v>369</v>
      </c>
      <c r="I310" s="213" t="s">
        <v>276</v>
      </c>
      <c r="J310" s="211">
        <v>0</v>
      </c>
      <c r="L310" s="220" t="str">
        <f t="shared" si="30"/>
        <v>ok</v>
      </c>
      <c r="M310" s="220" t="str">
        <f t="shared" si="31"/>
        <v>ok</v>
      </c>
    </row>
    <row r="311" spans="2:13" x14ac:dyDescent="0.25">
      <c r="B311" s="203">
        <f t="shared" si="32"/>
        <v>306</v>
      </c>
      <c r="C311" s="186"/>
      <c r="D311" s="214" t="s">
        <v>596</v>
      </c>
      <c r="E311" s="210">
        <v>7.4999999999999997E-2</v>
      </c>
      <c r="F311" s="186"/>
      <c r="G311" s="187" t="s">
        <v>369</v>
      </c>
      <c r="I311" s="213" t="s">
        <v>596</v>
      </c>
      <c r="J311" s="211">
        <v>7.4999999999999997E-2</v>
      </c>
      <c r="L311" s="220" t="str">
        <f t="shared" si="30"/>
        <v>ok</v>
      </c>
      <c r="M311" s="220" t="str">
        <f t="shared" si="31"/>
        <v>ok</v>
      </c>
    </row>
    <row r="312" spans="2:13" x14ac:dyDescent="0.25">
      <c r="B312" s="203">
        <f t="shared" si="32"/>
        <v>307</v>
      </c>
      <c r="C312" s="186"/>
      <c r="D312" s="214" t="s">
        <v>587</v>
      </c>
      <c r="E312" s="210">
        <v>0.1</v>
      </c>
      <c r="F312" s="186"/>
      <c r="G312" s="187" t="s">
        <v>369</v>
      </c>
      <c r="I312" s="213" t="s">
        <v>587</v>
      </c>
      <c r="J312" s="211">
        <v>0.1</v>
      </c>
      <c r="L312" s="220" t="str">
        <f t="shared" si="30"/>
        <v>ok</v>
      </c>
      <c r="M312" s="220" t="str">
        <f t="shared" si="31"/>
        <v>ok</v>
      </c>
    </row>
    <row r="313" spans="2:13" x14ac:dyDescent="0.25">
      <c r="B313" s="203">
        <f t="shared" si="32"/>
        <v>308</v>
      </c>
      <c r="C313" s="186"/>
      <c r="D313" s="214" t="s">
        <v>162</v>
      </c>
      <c r="E313" s="210">
        <v>7.4999999999999997E-2</v>
      </c>
      <c r="F313" s="186"/>
      <c r="G313" s="187" t="s">
        <v>369</v>
      </c>
      <c r="I313" s="213" t="s">
        <v>162</v>
      </c>
      <c r="J313" s="211">
        <v>7.4999999999999997E-2</v>
      </c>
      <c r="L313" s="220" t="str">
        <f t="shared" si="30"/>
        <v>ok</v>
      </c>
      <c r="M313" s="220" t="str">
        <f t="shared" si="31"/>
        <v>ok</v>
      </c>
    </row>
    <row r="314" spans="2:13" x14ac:dyDescent="0.25">
      <c r="B314" s="203">
        <f t="shared" si="32"/>
        <v>309</v>
      </c>
      <c r="C314" s="186"/>
      <c r="D314" s="214" t="s">
        <v>294</v>
      </c>
      <c r="E314" s="210">
        <v>0.05</v>
      </c>
      <c r="F314" s="186"/>
      <c r="G314" s="187" t="s">
        <v>369</v>
      </c>
      <c r="I314" s="213" t="s">
        <v>294</v>
      </c>
      <c r="J314" s="211">
        <v>0.05</v>
      </c>
      <c r="L314" s="220" t="str">
        <f t="shared" si="30"/>
        <v>ok</v>
      </c>
      <c r="M314" s="220" t="str">
        <f t="shared" si="31"/>
        <v>ok</v>
      </c>
    </row>
    <row r="315" spans="2:13" x14ac:dyDescent="0.25">
      <c r="B315" s="203">
        <f t="shared" si="32"/>
        <v>310</v>
      </c>
      <c r="C315" s="186"/>
      <c r="D315" s="214" t="s">
        <v>222</v>
      </c>
      <c r="E315" s="210">
        <v>0.03</v>
      </c>
      <c r="F315" s="186"/>
      <c r="G315" s="187" t="s">
        <v>369</v>
      </c>
      <c r="I315" s="213" t="s">
        <v>222</v>
      </c>
      <c r="J315" s="211">
        <v>0.03</v>
      </c>
      <c r="L315" s="220" t="str">
        <f t="shared" si="30"/>
        <v>ok</v>
      </c>
      <c r="M315" s="220" t="str">
        <f t="shared" si="31"/>
        <v>ok</v>
      </c>
    </row>
    <row r="316" spans="2:13" x14ac:dyDescent="0.25">
      <c r="B316" s="203">
        <f t="shared" si="32"/>
        <v>311</v>
      </c>
      <c r="C316" s="186"/>
      <c r="D316" s="214" t="s">
        <v>131</v>
      </c>
      <c r="E316" s="210">
        <v>0.12</v>
      </c>
      <c r="F316" s="186"/>
      <c r="G316" s="187" t="s">
        <v>369</v>
      </c>
      <c r="I316" s="213" t="s">
        <v>131</v>
      </c>
      <c r="J316" s="211">
        <v>0.12</v>
      </c>
      <c r="L316" s="220" t="str">
        <f t="shared" si="30"/>
        <v>ok</v>
      </c>
      <c r="M316" s="220" t="str">
        <f t="shared" si="31"/>
        <v>ok</v>
      </c>
    </row>
    <row r="317" spans="2:13" x14ac:dyDescent="0.25">
      <c r="B317" s="203">
        <f t="shared" si="32"/>
        <v>312</v>
      </c>
      <c r="C317" s="186"/>
      <c r="D317" s="214" t="s">
        <v>201</v>
      </c>
      <c r="E317" s="210">
        <v>0.1</v>
      </c>
      <c r="F317" s="186"/>
      <c r="G317" s="187" t="s">
        <v>369</v>
      </c>
      <c r="I317" s="213" t="s">
        <v>201</v>
      </c>
      <c r="J317" s="211">
        <v>0.1</v>
      </c>
      <c r="L317" s="220" t="str">
        <f t="shared" si="30"/>
        <v>ok</v>
      </c>
      <c r="M317" s="220" t="str">
        <f t="shared" si="31"/>
        <v>ok</v>
      </c>
    </row>
    <row r="318" spans="2:13" x14ac:dyDescent="0.25">
      <c r="B318" s="203">
        <f t="shared" si="32"/>
        <v>313</v>
      </c>
      <c r="C318" s="186"/>
      <c r="D318" s="214" t="s">
        <v>326</v>
      </c>
      <c r="E318" s="210">
        <v>0.1</v>
      </c>
      <c r="F318" s="186"/>
      <c r="G318" s="187" t="s">
        <v>369</v>
      </c>
      <c r="I318" s="213" t="s">
        <v>326</v>
      </c>
      <c r="J318" s="211">
        <v>0.1</v>
      </c>
      <c r="L318" s="220" t="str">
        <f t="shared" ref="L318:L333" si="33">IF(D318=I318,"ok","RAZLIKA")</f>
        <v>ok</v>
      </c>
      <c r="M318" s="220" t="str">
        <f t="shared" ref="M318:M333" si="34">IF(E318=J318,"ok","RAZLIKA")</f>
        <v>ok</v>
      </c>
    </row>
    <row r="319" spans="2:13" x14ac:dyDescent="0.25">
      <c r="B319" s="203">
        <f t="shared" si="32"/>
        <v>314</v>
      </c>
      <c r="C319" s="186"/>
      <c r="D319" s="214" t="s">
        <v>207</v>
      </c>
      <c r="E319" s="210">
        <v>0.05</v>
      </c>
      <c r="F319" s="186"/>
      <c r="G319" s="187" t="s">
        <v>369</v>
      </c>
      <c r="I319" s="214" t="s">
        <v>207</v>
      </c>
      <c r="J319" s="211">
        <v>0.05</v>
      </c>
      <c r="L319" s="220" t="str">
        <f t="shared" si="33"/>
        <v>ok</v>
      </c>
      <c r="M319" s="220" t="str">
        <f t="shared" si="34"/>
        <v>ok</v>
      </c>
    </row>
    <row r="320" spans="2:13" x14ac:dyDescent="0.25">
      <c r="B320" s="203">
        <f t="shared" si="32"/>
        <v>315</v>
      </c>
      <c r="C320" s="186"/>
      <c r="D320" s="214" t="s">
        <v>318</v>
      </c>
      <c r="E320" s="210">
        <v>7.0000000000000007E-2</v>
      </c>
      <c r="F320" s="186"/>
      <c r="G320" s="187" t="s">
        <v>369</v>
      </c>
      <c r="I320" s="213" t="s">
        <v>318</v>
      </c>
      <c r="J320" s="211">
        <v>7.0000000000000007E-2</v>
      </c>
      <c r="L320" s="220" t="str">
        <f t="shared" si="33"/>
        <v>ok</v>
      </c>
      <c r="M320" s="220" t="str">
        <f t="shared" si="34"/>
        <v>ok</v>
      </c>
    </row>
    <row r="321" spans="2:13" x14ac:dyDescent="0.25">
      <c r="B321" s="203">
        <f t="shared" si="32"/>
        <v>316</v>
      </c>
      <c r="C321" s="186"/>
      <c r="D321" s="214" t="s">
        <v>427</v>
      </c>
      <c r="E321" s="210">
        <v>0.12</v>
      </c>
      <c r="F321" s="186"/>
      <c r="G321" s="187" t="s">
        <v>369</v>
      </c>
      <c r="I321" s="213" t="s">
        <v>427</v>
      </c>
      <c r="J321" s="211">
        <v>0.12</v>
      </c>
      <c r="L321" s="220" t="str">
        <f t="shared" si="33"/>
        <v>ok</v>
      </c>
      <c r="M321" s="220" t="str">
        <f t="shared" si="34"/>
        <v>ok</v>
      </c>
    </row>
    <row r="322" spans="2:13" x14ac:dyDescent="0.25">
      <c r="B322" s="203">
        <f t="shared" si="32"/>
        <v>317</v>
      </c>
      <c r="C322" s="186"/>
      <c r="D322" s="214" t="s">
        <v>314</v>
      </c>
      <c r="E322" s="211">
        <v>0</v>
      </c>
      <c r="F322" s="186"/>
      <c r="G322" s="187" t="s">
        <v>369</v>
      </c>
      <c r="I322" s="213" t="s">
        <v>314</v>
      </c>
      <c r="J322" s="211">
        <v>0</v>
      </c>
      <c r="L322" s="220" t="str">
        <f t="shared" si="33"/>
        <v>ok</v>
      </c>
      <c r="M322" s="220" t="str">
        <f t="shared" si="34"/>
        <v>ok</v>
      </c>
    </row>
    <row r="323" spans="2:13" x14ac:dyDescent="0.25">
      <c r="B323" s="203">
        <f t="shared" si="32"/>
        <v>318</v>
      </c>
      <c r="C323" s="186"/>
      <c r="D323" s="214" t="s">
        <v>111</v>
      </c>
      <c r="E323" s="210">
        <v>0.18</v>
      </c>
      <c r="F323" s="186"/>
      <c r="G323" s="187" t="s">
        <v>369</v>
      </c>
      <c r="I323" s="213" t="s">
        <v>111</v>
      </c>
      <c r="J323" s="211">
        <v>0.18</v>
      </c>
      <c r="L323" s="220" t="str">
        <f t="shared" si="33"/>
        <v>ok</v>
      </c>
      <c r="M323" s="220" t="str">
        <f t="shared" si="34"/>
        <v>ok</v>
      </c>
    </row>
    <row r="324" spans="2:13" x14ac:dyDescent="0.25">
      <c r="B324" s="203">
        <f t="shared" si="32"/>
        <v>319</v>
      </c>
      <c r="C324" s="186"/>
      <c r="D324" s="214" t="s">
        <v>306</v>
      </c>
      <c r="E324" s="210">
        <v>0.06</v>
      </c>
      <c r="F324" s="186"/>
      <c r="G324" s="187" t="s">
        <v>369</v>
      </c>
      <c r="I324" s="213" t="s">
        <v>306</v>
      </c>
      <c r="J324" s="211">
        <v>0.06</v>
      </c>
      <c r="L324" s="220" t="str">
        <f t="shared" si="33"/>
        <v>ok</v>
      </c>
      <c r="M324" s="220" t="str">
        <f t="shared" si="34"/>
        <v>ok</v>
      </c>
    </row>
    <row r="325" spans="2:13" x14ac:dyDescent="0.25">
      <c r="B325" s="203">
        <f t="shared" si="32"/>
        <v>320</v>
      </c>
      <c r="C325" s="186"/>
      <c r="D325" s="214" t="s">
        <v>137</v>
      </c>
      <c r="E325" s="210">
        <v>0.12</v>
      </c>
      <c r="F325" s="186"/>
      <c r="G325" s="187" t="s">
        <v>369</v>
      </c>
      <c r="I325" s="213" t="s">
        <v>137</v>
      </c>
      <c r="J325" s="211">
        <v>0.12</v>
      </c>
      <c r="L325" s="220" t="str">
        <f t="shared" si="33"/>
        <v>ok</v>
      </c>
      <c r="M325" s="220" t="str">
        <f t="shared" si="34"/>
        <v>ok</v>
      </c>
    </row>
    <row r="326" spans="2:13" x14ac:dyDescent="0.25">
      <c r="B326" s="203">
        <f t="shared" si="32"/>
        <v>321</v>
      </c>
      <c r="C326" s="186"/>
      <c r="D326" s="214" t="s">
        <v>148</v>
      </c>
      <c r="E326" s="210">
        <v>0.1</v>
      </c>
      <c r="F326" s="186"/>
      <c r="G326" s="187" t="s">
        <v>369</v>
      </c>
      <c r="I326" s="213" t="s">
        <v>148</v>
      </c>
      <c r="J326" s="211">
        <v>0.1</v>
      </c>
      <c r="L326" s="220" t="str">
        <f t="shared" si="33"/>
        <v>ok</v>
      </c>
      <c r="M326" s="220" t="str">
        <f t="shared" si="34"/>
        <v>ok</v>
      </c>
    </row>
    <row r="327" spans="2:13" x14ac:dyDescent="0.25">
      <c r="B327" s="203">
        <f t="shared" si="32"/>
        <v>322</v>
      </c>
      <c r="C327" s="186"/>
      <c r="D327" s="214" t="s">
        <v>149</v>
      </c>
      <c r="E327" s="210">
        <v>0.05</v>
      </c>
      <c r="F327" s="186"/>
      <c r="G327" s="187" t="s">
        <v>369</v>
      </c>
      <c r="I327" s="213" t="s">
        <v>149</v>
      </c>
      <c r="J327" s="211">
        <v>0.05</v>
      </c>
      <c r="L327" s="220" t="str">
        <f t="shared" si="33"/>
        <v>ok</v>
      </c>
      <c r="M327" s="220" t="str">
        <f t="shared" si="34"/>
        <v>ok</v>
      </c>
    </row>
    <row r="328" spans="2:13" x14ac:dyDescent="0.25">
      <c r="B328" s="203">
        <f t="shared" si="32"/>
        <v>323</v>
      </c>
      <c r="C328" s="186"/>
      <c r="D328" s="214" t="s">
        <v>307</v>
      </c>
      <c r="E328" s="210">
        <v>0.08</v>
      </c>
      <c r="F328" s="186"/>
      <c r="G328" s="187" t="s">
        <v>369</v>
      </c>
      <c r="I328" s="213" t="s">
        <v>307</v>
      </c>
      <c r="J328" s="211">
        <v>0.08</v>
      </c>
      <c r="L328" s="220" t="str">
        <f t="shared" si="33"/>
        <v>ok</v>
      </c>
      <c r="M328" s="220" t="str">
        <f t="shared" si="34"/>
        <v>ok</v>
      </c>
    </row>
    <row r="329" spans="2:13" x14ac:dyDescent="0.25">
      <c r="B329" s="203">
        <f t="shared" si="32"/>
        <v>324</v>
      </c>
      <c r="C329" s="186"/>
      <c r="D329" s="214" t="s">
        <v>597</v>
      </c>
      <c r="E329" s="210">
        <v>0</v>
      </c>
      <c r="F329" s="186"/>
      <c r="G329" s="187" t="s">
        <v>369</v>
      </c>
      <c r="I329" s="213" t="s">
        <v>597</v>
      </c>
      <c r="J329" s="211">
        <v>0</v>
      </c>
      <c r="L329" s="220" t="str">
        <f t="shared" si="33"/>
        <v>ok</v>
      </c>
      <c r="M329" s="220" t="str">
        <f t="shared" si="34"/>
        <v>ok</v>
      </c>
    </row>
    <row r="330" spans="2:13" x14ac:dyDescent="0.25">
      <c r="B330" s="203">
        <f t="shared" si="32"/>
        <v>325</v>
      </c>
      <c r="C330" s="186"/>
      <c r="D330" s="214" t="s">
        <v>353</v>
      </c>
      <c r="E330" s="210">
        <v>0.05</v>
      </c>
      <c r="F330" s="186"/>
      <c r="G330" s="187" t="s">
        <v>369</v>
      </c>
      <c r="I330" s="213" t="s">
        <v>353</v>
      </c>
      <c r="J330" s="211">
        <v>0.05</v>
      </c>
      <c r="L330" s="220" t="str">
        <f t="shared" si="33"/>
        <v>ok</v>
      </c>
      <c r="M330" s="220" t="str">
        <f t="shared" si="34"/>
        <v>ok</v>
      </c>
    </row>
    <row r="331" spans="2:13" x14ac:dyDescent="0.25">
      <c r="B331" s="203">
        <f t="shared" si="32"/>
        <v>326</v>
      </c>
      <c r="C331" s="186"/>
      <c r="D331" s="214" t="s">
        <v>127</v>
      </c>
      <c r="E331" s="210">
        <v>0.03</v>
      </c>
      <c r="F331" s="186"/>
      <c r="G331" s="187" t="s">
        <v>369</v>
      </c>
      <c r="I331" s="213" t="s">
        <v>127</v>
      </c>
      <c r="J331" s="211">
        <v>0.03</v>
      </c>
      <c r="L331" s="220" t="str">
        <f t="shared" si="33"/>
        <v>ok</v>
      </c>
      <c r="M331" s="220" t="str">
        <f t="shared" si="34"/>
        <v>ok</v>
      </c>
    </row>
    <row r="332" spans="2:13" x14ac:dyDescent="0.25">
      <c r="B332" s="203">
        <f t="shared" ref="B332:B333" si="35">B331+1</f>
        <v>327</v>
      </c>
      <c r="C332" s="186"/>
      <c r="D332" s="214" t="s">
        <v>357</v>
      </c>
      <c r="E332" s="210">
        <v>0.1</v>
      </c>
      <c r="F332" s="186"/>
      <c r="G332" s="187" t="s">
        <v>369</v>
      </c>
      <c r="I332" s="213" t="s">
        <v>357</v>
      </c>
      <c r="J332" s="211">
        <v>0.1</v>
      </c>
      <c r="L332" s="220" t="str">
        <f t="shared" si="33"/>
        <v>ok</v>
      </c>
      <c r="M332" s="220" t="str">
        <f t="shared" si="34"/>
        <v>ok</v>
      </c>
    </row>
    <row r="333" spans="2:13" x14ac:dyDescent="0.25">
      <c r="B333" s="203">
        <f t="shared" si="35"/>
        <v>328</v>
      </c>
      <c r="C333" s="186"/>
      <c r="D333" s="214" t="s">
        <v>289</v>
      </c>
      <c r="E333" s="211">
        <v>0.09</v>
      </c>
      <c r="F333" s="186"/>
      <c r="G333" s="187" t="s">
        <v>369</v>
      </c>
      <c r="I333" s="213" t="s">
        <v>289</v>
      </c>
      <c r="J333" s="211">
        <v>0.09</v>
      </c>
      <c r="L333" s="220" t="str">
        <f t="shared" si="33"/>
        <v>ok</v>
      </c>
      <c r="M333" s="220" t="str">
        <f t="shared" si="34"/>
        <v>ok</v>
      </c>
    </row>
    <row r="334" spans="2:13" x14ac:dyDescent="0.25">
      <c r="B334" s="204">
        <f t="shared" ref="B334" si="36">B333+1</f>
        <v>329</v>
      </c>
      <c r="C334" s="188"/>
      <c r="D334" s="219" t="s">
        <v>368</v>
      </c>
      <c r="E334" s="212">
        <v>0</v>
      </c>
      <c r="F334" s="188"/>
      <c r="G334" s="189" t="s">
        <v>369</v>
      </c>
      <c r="J334" s="211"/>
    </row>
    <row r="335" spans="2:13" x14ac:dyDescent="0.25">
      <c r="J335" s="211"/>
    </row>
    <row r="336" spans="2:13" x14ac:dyDescent="0.25">
      <c r="B336" s="205"/>
      <c r="J336" s="211"/>
    </row>
    <row r="337" spans="2:10" x14ac:dyDescent="0.25">
      <c r="B337" s="206">
        <f>ZaGodinu-5</f>
        <v>2018</v>
      </c>
      <c r="J337" s="211"/>
    </row>
    <row r="338" spans="2:10" x14ac:dyDescent="0.25">
      <c r="B338" s="206">
        <f>B337+1</f>
        <v>2019</v>
      </c>
      <c r="J338" s="211"/>
    </row>
    <row r="339" spans="2:10" x14ac:dyDescent="0.25">
      <c r="B339" s="206">
        <f>B338+1</f>
        <v>2020</v>
      </c>
      <c r="J339" s="210"/>
    </row>
    <row r="340" spans="2:10" x14ac:dyDescent="0.25">
      <c r="B340" s="206">
        <f>B339+1</f>
        <v>2021</v>
      </c>
    </row>
    <row r="341" spans="2:10" x14ac:dyDescent="0.25">
      <c r="B341" s="206">
        <f>B340+1</f>
        <v>2022</v>
      </c>
    </row>
    <row r="342" spans="2:10" x14ac:dyDescent="0.25">
      <c r="B342" s="207">
        <f>B341+1</f>
        <v>2023</v>
      </c>
    </row>
    <row r="344" spans="2:10" x14ac:dyDescent="0.25">
      <c r="B344" s="205"/>
    </row>
    <row r="345" spans="2:10" x14ac:dyDescent="0.25">
      <c r="B345" s="206" t="s">
        <v>92</v>
      </c>
    </row>
    <row r="346" spans="2:10" x14ac:dyDescent="0.25">
      <c r="B346" s="206" t="s">
        <v>93</v>
      </c>
    </row>
    <row r="347" spans="2:10" x14ac:dyDescent="0.25">
      <c r="B347" s="206" t="s">
        <v>390</v>
      </c>
    </row>
    <row r="348" spans="2:10" x14ac:dyDescent="0.25">
      <c r="B348" s="207" t="s">
        <v>391</v>
      </c>
    </row>
    <row r="350" spans="2:10" x14ac:dyDescent="0.25">
      <c r="B350" s="205"/>
    </row>
    <row r="351" spans="2:10" x14ac:dyDescent="0.25">
      <c r="B351" s="206" t="s">
        <v>392</v>
      </c>
    </row>
    <row r="352" spans="2:10" x14ac:dyDescent="0.25">
      <c r="B352" s="207" t="s">
        <v>393</v>
      </c>
    </row>
    <row r="354" spans="2:2" x14ac:dyDescent="0.25">
      <c r="B354" s="205"/>
    </row>
    <row r="355" spans="2:2" x14ac:dyDescent="0.25">
      <c r="B355" s="206" t="s">
        <v>394</v>
      </c>
    </row>
    <row r="356" spans="2:2" x14ac:dyDescent="0.25">
      <c r="B356" s="207" t="s">
        <v>395</v>
      </c>
    </row>
    <row r="358" spans="2:2" x14ac:dyDescent="0.25">
      <c r="B358" s="205"/>
    </row>
    <row r="359" spans="2:2" x14ac:dyDescent="0.25">
      <c r="B359" s="206">
        <v>1</v>
      </c>
    </row>
    <row r="360" spans="2:2" x14ac:dyDescent="0.25">
      <c r="B360" s="206">
        <v>2</v>
      </c>
    </row>
    <row r="361" spans="2:2" x14ac:dyDescent="0.25">
      <c r="B361" s="206">
        <v>3</v>
      </c>
    </row>
    <row r="362" spans="2:2" x14ac:dyDescent="0.25">
      <c r="B362" s="206">
        <v>4</v>
      </c>
    </row>
    <row r="363" spans="2:2" x14ac:dyDescent="0.25">
      <c r="B363" s="206">
        <v>5</v>
      </c>
    </row>
    <row r="364" spans="2:2" x14ac:dyDescent="0.25">
      <c r="B364" s="206">
        <v>6</v>
      </c>
    </row>
    <row r="365" spans="2:2" x14ac:dyDescent="0.25">
      <c r="B365" s="206">
        <v>7</v>
      </c>
    </row>
    <row r="366" spans="2:2" x14ac:dyDescent="0.25">
      <c r="B366" s="206">
        <v>8</v>
      </c>
    </row>
    <row r="367" spans="2:2" x14ac:dyDescent="0.25">
      <c r="B367" s="206">
        <v>9</v>
      </c>
    </row>
    <row r="368" spans="2:2" x14ac:dyDescent="0.25">
      <c r="B368" s="206">
        <v>10</v>
      </c>
    </row>
    <row r="369" spans="2:2" x14ac:dyDescent="0.25">
      <c r="B369" s="206">
        <v>11</v>
      </c>
    </row>
    <row r="370" spans="2:2" x14ac:dyDescent="0.25">
      <c r="B370" s="207">
        <v>12</v>
      </c>
    </row>
  </sheetData>
  <protectedRanges>
    <protectedRange sqref="B4" name="RasponP"/>
  </protectedRanges>
  <sortState xmlns:xlrd2="http://schemas.microsoft.com/office/spreadsheetml/2017/richdata2" ref="I260:J267">
    <sortCondition ref="I260:I267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Normal="100" workbookViewId="0"/>
  </sheetViews>
  <sheetFormatPr defaultColWidth="8.85546875" defaultRowHeight="15" x14ac:dyDescent="0.25"/>
  <cols>
    <col min="1" max="16384" width="8.85546875" style="89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6384" width="8.85546875" style="25"/>
  </cols>
  <sheetData>
    <row r="1" spans="1:10" s="59" customFormat="1" ht="24" customHeight="1" x14ac:dyDescent="0.2">
      <c r="B1" s="369"/>
      <c r="C1" s="369"/>
      <c r="D1" s="369"/>
      <c r="E1" s="369"/>
      <c r="F1" s="369"/>
      <c r="G1" s="369"/>
      <c r="H1" s="369"/>
    </row>
    <row r="2" spans="1:10" ht="25.9" customHeight="1" x14ac:dyDescent="0.2">
      <c r="B2" s="276" t="s">
        <v>20</v>
      </c>
      <c r="C2" s="277"/>
      <c r="D2" s="277"/>
      <c r="E2" s="277"/>
      <c r="F2" s="277"/>
      <c r="G2" s="277"/>
      <c r="H2" s="278"/>
    </row>
    <row r="3" spans="1:10" ht="13.15" customHeight="1" x14ac:dyDescent="0.25">
      <c r="B3" s="40"/>
      <c r="C3" s="42" t="s">
        <v>16</v>
      </c>
      <c r="D3" s="41"/>
      <c r="E3" s="41"/>
      <c r="F3" s="41"/>
      <c r="G3" s="41"/>
      <c r="H3" s="43"/>
    </row>
    <row r="4" spans="1:10" ht="13.15" customHeight="1" x14ac:dyDescent="0.25">
      <c r="B4" s="44"/>
      <c r="C4" s="45" t="s">
        <v>473</v>
      </c>
      <c r="H4" s="46"/>
    </row>
    <row r="5" spans="1:10" ht="13.15" customHeight="1" x14ac:dyDescent="0.25">
      <c r="B5" s="47"/>
      <c r="C5" s="49" t="s">
        <v>472</v>
      </c>
      <c r="D5" s="48"/>
      <c r="E5" s="48"/>
      <c r="F5" s="48"/>
      <c r="G5" s="48"/>
      <c r="H5" s="50"/>
    </row>
    <row r="6" spans="1:10" ht="6" customHeight="1" x14ac:dyDescent="0.2"/>
    <row r="7" spans="1:10" s="59" customFormat="1" ht="14.45" customHeight="1" x14ac:dyDescent="0.2">
      <c r="H7" s="31" t="s">
        <v>546</v>
      </c>
    </row>
    <row r="8" spans="1:10" ht="25.5" customHeight="1" x14ac:dyDescent="0.2">
      <c r="B8" s="370" t="s">
        <v>21</v>
      </c>
      <c r="C8" s="371"/>
      <c r="D8" s="371"/>
      <c r="E8" s="371"/>
      <c r="F8" s="371"/>
      <c r="G8" s="371"/>
      <c r="H8" s="372"/>
    </row>
    <row r="9" spans="1:10" ht="6" customHeight="1" x14ac:dyDescent="0.2"/>
    <row r="10" spans="1:10" ht="25.9" customHeight="1" x14ac:dyDescent="0.2">
      <c r="B10" s="373" t="s">
        <v>475</v>
      </c>
      <c r="C10" s="353"/>
      <c r="D10" s="353"/>
      <c r="E10" s="353"/>
      <c r="F10" s="353"/>
      <c r="G10" s="353"/>
      <c r="H10" s="354"/>
    </row>
    <row r="11" spans="1:10" ht="10.15" customHeight="1" x14ac:dyDescent="0.2">
      <c r="B11" s="304" t="s">
        <v>0</v>
      </c>
      <c r="C11" s="337" t="s">
        <v>492</v>
      </c>
      <c r="D11" s="335" t="s">
        <v>490</v>
      </c>
      <c r="E11" s="336"/>
      <c r="F11" s="116" t="s">
        <v>27</v>
      </c>
      <c r="G11" s="348" t="s">
        <v>18</v>
      </c>
      <c r="H11" s="359" t="s">
        <v>491</v>
      </c>
    </row>
    <row r="12" spans="1:10" ht="10.15" customHeight="1" x14ac:dyDescent="0.2">
      <c r="B12" s="304"/>
      <c r="C12" s="337"/>
      <c r="D12" s="337"/>
      <c r="E12" s="338"/>
      <c r="F12" s="113" t="s">
        <v>29</v>
      </c>
      <c r="G12" s="348"/>
      <c r="H12" s="359"/>
    </row>
    <row r="13" spans="1:10" ht="10.15" customHeight="1" x14ac:dyDescent="0.2">
      <c r="B13" s="305"/>
      <c r="C13" s="339"/>
      <c r="D13" s="339"/>
      <c r="E13" s="340"/>
      <c r="F13" s="114" t="s">
        <v>28</v>
      </c>
      <c r="G13" s="349"/>
      <c r="H13" s="360"/>
    </row>
    <row r="14" spans="1:10" s="64" customFormat="1" ht="12" customHeight="1" x14ac:dyDescent="0.2">
      <c r="A14" s="59"/>
      <c r="B14" s="2">
        <v>1</v>
      </c>
      <c r="C14" s="106">
        <v>2</v>
      </c>
      <c r="D14" s="262">
        <v>3</v>
      </c>
      <c r="E14" s="361"/>
      <c r="F14" s="106">
        <v>4</v>
      </c>
      <c r="G14" s="118" t="s">
        <v>81</v>
      </c>
      <c r="H14" s="92">
        <v>6</v>
      </c>
      <c r="I14" s="25"/>
    </row>
    <row r="15" spans="1:10" ht="25.15" customHeight="1" x14ac:dyDescent="0.2">
      <c r="B15" s="2" t="s">
        <v>1</v>
      </c>
      <c r="C15" s="90"/>
      <c r="D15" s="350"/>
      <c r="E15" s="351"/>
      <c r="F15" s="119"/>
      <c r="G15" s="142" t="str">
        <f t="shared" ref="G15:G20" si="0">IF(D15&amp;F15="","",N(D15)-N(F15))</f>
        <v/>
      </c>
      <c r="H15" s="76"/>
      <c r="J15" s="63"/>
    </row>
    <row r="16" spans="1:10" ht="25.15" customHeight="1" x14ac:dyDescent="0.2">
      <c r="B16" s="2" t="s">
        <v>2</v>
      </c>
      <c r="C16" s="90"/>
      <c r="D16" s="350"/>
      <c r="E16" s="351"/>
      <c r="F16" s="119"/>
      <c r="G16" s="142" t="str">
        <f t="shared" si="0"/>
        <v/>
      </c>
      <c r="H16" s="76"/>
      <c r="J16" s="63"/>
    </row>
    <row r="17" spans="1:10" ht="25.15" customHeight="1" x14ac:dyDescent="0.2">
      <c r="B17" s="2" t="s">
        <v>3</v>
      </c>
      <c r="C17" s="90"/>
      <c r="D17" s="350"/>
      <c r="E17" s="351"/>
      <c r="F17" s="119"/>
      <c r="G17" s="142" t="str">
        <f t="shared" si="0"/>
        <v/>
      </c>
      <c r="H17" s="76"/>
      <c r="J17" s="63"/>
    </row>
    <row r="18" spans="1:10" ht="25.15" customHeight="1" x14ac:dyDescent="0.2">
      <c r="B18" s="2" t="s">
        <v>4</v>
      </c>
      <c r="C18" s="90"/>
      <c r="D18" s="350"/>
      <c r="E18" s="351"/>
      <c r="F18" s="119"/>
      <c r="G18" s="142" t="str">
        <f t="shared" si="0"/>
        <v/>
      </c>
      <c r="H18" s="76"/>
      <c r="J18" s="63"/>
    </row>
    <row r="19" spans="1:10" ht="25.15" customHeight="1" x14ac:dyDescent="0.2">
      <c r="B19" s="2" t="s">
        <v>5</v>
      </c>
      <c r="C19" s="90"/>
      <c r="D19" s="350"/>
      <c r="E19" s="351"/>
      <c r="F19" s="119"/>
      <c r="G19" s="142" t="str">
        <f t="shared" si="0"/>
        <v/>
      </c>
      <c r="H19" s="76"/>
      <c r="J19" s="63"/>
    </row>
    <row r="20" spans="1:10" ht="25.15" customHeight="1" x14ac:dyDescent="0.2">
      <c r="B20" s="33" t="s">
        <v>6</v>
      </c>
      <c r="C20" s="91"/>
      <c r="D20" s="350"/>
      <c r="E20" s="351"/>
      <c r="F20" s="119"/>
      <c r="G20" s="142" t="str">
        <f t="shared" si="0"/>
        <v/>
      </c>
      <c r="H20" s="77"/>
      <c r="J20" s="63"/>
    </row>
    <row r="21" spans="1:10" ht="25.15" customHeight="1" x14ac:dyDescent="0.2">
      <c r="B21" s="341" t="s">
        <v>22</v>
      </c>
      <c r="C21" s="342"/>
      <c r="D21" s="343"/>
      <c r="E21" s="343"/>
      <c r="F21" s="343"/>
      <c r="G21" s="51" t="str">
        <f>IF(G15&amp;G16&amp;G17&amp;G18&amp;G19&amp;G20="","",N(G15)+N(G16)+N(G17)+N(G18)+N(G19)+N(G20))</f>
        <v/>
      </c>
      <c r="H21" s="51" t="str">
        <f>IF(H15&amp;H16&amp;H17&amp;H18&amp;H19&amp;H20="","",N(H15)+N(H16)+N(H17)+N(H18)+N(H19)+N(H20))</f>
        <v/>
      </c>
    </row>
    <row r="22" spans="1:10" ht="6" customHeight="1" x14ac:dyDescent="0.2"/>
    <row r="23" spans="1:10" ht="33.75" customHeight="1" x14ac:dyDescent="0.2">
      <c r="B23" s="352" t="s">
        <v>476</v>
      </c>
      <c r="C23" s="353"/>
      <c r="D23" s="353"/>
      <c r="E23" s="353"/>
      <c r="F23" s="353"/>
      <c r="G23" s="353"/>
      <c r="H23" s="354"/>
    </row>
    <row r="24" spans="1:10" ht="10.15" customHeight="1" x14ac:dyDescent="0.2">
      <c r="B24" s="304" t="s">
        <v>0</v>
      </c>
      <c r="C24" s="337" t="s">
        <v>492</v>
      </c>
      <c r="D24" s="335" t="s">
        <v>490</v>
      </c>
      <c r="E24" s="336"/>
      <c r="F24" s="116" t="s">
        <v>27</v>
      </c>
      <c r="G24" s="348" t="s">
        <v>18</v>
      </c>
      <c r="H24" s="359" t="s">
        <v>491</v>
      </c>
      <c r="J24" s="344" t="s">
        <v>588</v>
      </c>
    </row>
    <row r="25" spans="1:10" ht="10.15" customHeight="1" x14ac:dyDescent="0.2">
      <c r="B25" s="304"/>
      <c r="C25" s="337"/>
      <c r="D25" s="337"/>
      <c r="E25" s="338"/>
      <c r="F25" s="113" t="s">
        <v>29</v>
      </c>
      <c r="G25" s="348"/>
      <c r="H25" s="359"/>
      <c r="J25" s="345"/>
    </row>
    <row r="26" spans="1:10" ht="10.15" customHeight="1" x14ac:dyDescent="0.2">
      <c r="B26" s="305"/>
      <c r="C26" s="339"/>
      <c r="D26" s="339"/>
      <c r="E26" s="340"/>
      <c r="F26" s="114" t="s">
        <v>28</v>
      </c>
      <c r="G26" s="349"/>
      <c r="H26" s="360"/>
      <c r="J26" s="345"/>
    </row>
    <row r="27" spans="1:10" s="64" customFormat="1" ht="12" customHeight="1" x14ac:dyDescent="0.2">
      <c r="A27" s="59"/>
      <c r="B27" s="2">
        <v>1</v>
      </c>
      <c r="C27" s="106">
        <v>2</v>
      </c>
      <c r="D27" s="262">
        <v>3</v>
      </c>
      <c r="E27" s="361"/>
      <c r="F27" s="106">
        <v>4</v>
      </c>
      <c r="G27" s="118" t="s">
        <v>81</v>
      </c>
      <c r="H27" s="92">
        <v>6</v>
      </c>
      <c r="I27" s="25"/>
      <c r="J27" s="180">
        <v>7</v>
      </c>
    </row>
    <row r="28" spans="1:10" ht="25.15" customHeight="1" x14ac:dyDescent="0.2">
      <c r="B28" s="2" t="s">
        <v>1</v>
      </c>
      <c r="C28" s="90"/>
      <c r="D28" s="350"/>
      <c r="E28" s="351"/>
      <c r="F28" s="119"/>
      <c r="G28" s="142" t="str">
        <f t="shared" ref="G28:G33" si="1">IF(D28&amp;F28="","",N(D28)-N(F28))</f>
        <v/>
      </c>
      <c r="H28" s="76"/>
      <c r="J28" s="181"/>
    </row>
    <row r="29" spans="1:10" ht="25.15" customHeight="1" x14ac:dyDescent="0.2">
      <c r="B29" s="2" t="s">
        <v>2</v>
      </c>
      <c r="C29" s="90"/>
      <c r="D29" s="350"/>
      <c r="E29" s="351"/>
      <c r="F29" s="119"/>
      <c r="G29" s="142" t="str">
        <f t="shared" si="1"/>
        <v/>
      </c>
      <c r="H29" s="76"/>
      <c r="J29" s="181"/>
    </row>
    <row r="30" spans="1:10" ht="25.15" customHeight="1" x14ac:dyDescent="0.2">
      <c r="B30" s="2" t="s">
        <v>3</v>
      </c>
      <c r="C30" s="90"/>
      <c r="D30" s="350"/>
      <c r="E30" s="351"/>
      <c r="F30" s="119"/>
      <c r="G30" s="142" t="str">
        <f t="shared" si="1"/>
        <v/>
      </c>
      <c r="H30" s="76"/>
      <c r="J30" s="181"/>
    </row>
    <row r="31" spans="1:10" ht="25.15" customHeight="1" x14ac:dyDescent="0.2">
      <c r="B31" s="2" t="s">
        <v>4</v>
      </c>
      <c r="C31" s="90"/>
      <c r="D31" s="350"/>
      <c r="E31" s="351"/>
      <c r="F31" s="119"/>
      <c r="G31" s="142" t="str">
        <f t="shared" si="1"/>
        <v/>
      </c>
      <c r="H31" s="76"/>
      <c r="J31" s="181"/>
    </row>
    <row r="32" spans="1:10" ht="25.15" customHeight="1" x14ac:dyDescent="0.2">
      <c r="B32" s="2" t="s">
        <v>5</v>
      </c>
      <c r="C32" s="90"/>
      <c r="D32" s="350"/>
      <c r="E32" s="351"/>
      <c r="F32" s="119"/>
      <c r="G32" s="142" t="str">
        <f t="shared" si="1"/>
        <v/>
      </c>
      <c r="H32" s="76"/>
      <c r="J32" s="181"/>
    </row>
    <row r="33" spans="1:12" ht="25.15" customHeight="1" x14ac:dyDescent="0.2">
      <c r="B33" s="33" t="s">
        <v>6</v>
      </c>
      <c r="C33" s="91"/>
      <c r="D33" s="350"/>
      <c r="E33" s="351"/>
      <c r="F33" s="119"/>
      <c r="G33" s="142" t="str">
        <f t="shared" si="1"/>
        <v/>
      </c>
      <c r="H33" s="77"/>
      <c r="J33" s="181"/>
    </row>
    <row r="34" spans="1:12" ht="25.15" customHeight="1" x14ac:dyDescent="0.2">
      <c r="B34" s="341" t="s">
        <v>24</v>
      </c>
      <c r="C34" s="342"/>
      <c r="D34" s="343"/>
      <c r="E34" s="343"/>
      <c r="F34" s="343"/>
      <c r="G34" s="51" t="str">
        <f>IF(G28&amp;G29&amp;G30&amp;G31&amp;G32&amp;G33="","",N(G28)+N(G29)+N(G30)+N(G31)+N(G32)+N(G33))</f>
        <v/>
      </c>
      <c r="H34" s="51" t="str">
        <f>IF(H28&amp;H29&amp;H30&amp;H31&amp;H32&amp;H33="","",N(H28)+N(H29)+N(H30)+N(H31)+N(H32)+N(H33))</f>
        <v/>
      </c>
      <c r="J34" s="136" t="str">
        <f>IF(Dohodak_4_1_2&amp;Dohodak_5="","",IF(N(Dohodak_5)=0,0,N(Dohodak_4_1_2)/N(Dohodak_5)))</f>
        <v/>
      </c>
    </row>
    <row r="35" spans="1:12" ht="6" customHeight="1" x14ac:dyDescent="0.2"/>
    <row r="36" spans="1:12" ht="33.75" customHeight="1" x14ac:dyDescent="0.2">
      <c r="B36" s="352" t="s">
        <v>485</v>
      </c>
      <c r="C36" s="353"/>
      <c r="D36" s="353"/>
      <c r="E36" s="353"/>
      <c r="F36" s="353"/>
      <c r="G36" s="353"/>
      <c r="H36" s="354"/>
    </row>
    <row r="37" spans="1:12" ht="15" customHeight="1" x14ac:dyDescent="0.2">
      <c r="B37" s="304" t="s">
        <v>0</v>
      </c>
      <c r="C37" s="335" t="s">
        <v>89</v>
      </c>
      <c r="D37" s="355"/>
      <c r="E37" s="355"/>
      <c r="F37" s="355" t="s">
        <v>18</v>
      </c>
      <c r="G37" s="357" t="s">
        <v>107</v>
      </c>
      <c r="H37" s="358"/>
    </row>
    <row r="38" spans="1:12" ht="15" customHeight="1" x14ac:dyDescent="0.2">
      <c r="B38" s="305"/>
      <c r="C38" s="339"/>
      <c r="D38" s="356"/>
      <c r="E38" s="356"/>
      <c r="F38" s="356"/>
      <c r="G38" s="111" t="s">
        <v>420</v>
      </c>
      <c r="H38" s="115" t="s">
        <v>421</v>
      </c>
    </row>
    <row r="39" spans="1:12" s="64" customFormat="1" ht="12" customHeight="1" x14ac:dyDescent="0.2">
      <c r="A39" s="59"/>
      <c r="B39" s="2">
        <v>1</v>
      </c>
      <c r="C39" s="262">
        <v>2</v>
      </c>
      <c r="D39" s="263"/>
      <c r="E39" s="361"/>
      <c r="F39" s="106">
        <v>3</v>
      </c>
      <c r="G39" s="118">
        <v>4</v>
      </c>
      <c r="H39" s="92">
        <v>5</v>
      </c>
      <c r="I39" s="25"/>
    </row>
    <row r="40" spans="1:12" ht="25.15" customHeight="1" x14ac:dyDescent="0.2">
      <c r="B40" s="2" t="s">
        <v>1</v>
      </c>
      <c r="C40" s="346"/>
      <c r="D40" s="347"/>
      <c r="E40" s="347"/>
      <c r="F40" s="119"/>
      <c r="G40" s="147"/>
      <c r="H40" s="141"/>
      <c r="J40" s="63"/>
    </row>
    <row r="41" spans="1:12" ht="25.15" customHeight="1" x14ac:dyDescent="0.2">
      <c r="B41" s="2" t="s">
        <v>2</v>
      </c>
      <c r="C41" s="346"/>
      <c r="D41" s="347"/>
      <c r="E41" s="363"/>
      <c r="F41" s="119"/>
      <c r="G41" s="147"/>
      <c r="H41" s="141"/>
      <c r="J41" s="63"/>
    </row>
    <row r="42" spans="1:12" ht="25.15" customHeight="1" x14ac:dyDescent="0.2">
      <c r="B42" s="2" t="s">
        <v>3</v>
      </c>
      <c r="C42" s="346"/>
      <c r="D42" s="347"/>
      <c r="E42" s="363"/>
      <c r="F42" s="119"/>
      <c r="G42" s="147"/>
      <c r="H42" s="141"/>
      <c r="J42" s="63"/>
    </row>
    <row r="43" spans="1:12" ht="25.15" customHeight="1" x14ac:dyDescent="0.2">
      <c r="B43" s="2" t="s">
        <v>4</v>
      </c>
      <c r="C43" s="364"/>
      <c r="D43" s="365"/>
      <c r="E43" s="366"/>
      <c r="F43" s="119"/>
      <c r="G43" s="148"/>
      <c r="H43" s="141"/>
      <c r="J43" s="63"/>
    </row>
    <row r="44" spans="1:12" ht="25.15" customHeight="1" x14ac:dyDescent="0.2">
      <c r="B44" s="367" t="s">
        <v>477</v>
      </c>
      <c r="C44" s="368"/>
      <c r="D44" s="368"/>
      <c r="E44" s="368"/>
      <c r="F44" s="51" t="str">
        <f>IF(F40&amp;F41&amp;F42&amp;F43="","",N(F40)+N(F41)+N(F42)+N(F43))</f>
        <v/>
      </c>
      <c r="G44" s="51" t="str">
        <f>IF(G40&amp;G41&amp;G42&amp;G43="","",N(G40)+N(G41)+N(G42)+N(G43))</f>
        <v/>
      </c>
      <c r="H44" s="51" t="str">
        <f>IF(H40&amp;H41&amp;H42&amp;H43="","",N(H40)+N(H41)+N(H42)+N(H43))</f>
        <v/>
      </c>
    </row>
    <row r="45" spans="1:12" ht="6" customHeight="1" x14ac:dyDescent="0.2"/>
    <row r="46" spans="1:12" s="5" customFormat="1" ht="21.75" customHeight="1" x14ac:dyDescent="0.25">
      <c r="B46" s="226" t="s">
        <v>484</v>
      </c>
      <c r="C46" s="226"/>
      <c r="D46" s="226"/>
      <c r="E46" s="226"/>
      <c r="F46" s="226"/>
      <c r="G46" s="226"/>
      <c r="H46" s="226"/>
      <c r="I46" s="132"/>
      <c r="J46" s="132"/>
      <c r="K46" s="132"/>
      <c r="L46" s="132"/>
    </row>
    <row r="47" spans="1:12" ht="24" customHeight="1" x14ac:dyDescent="0.2">
      <c r="B47" s="362"/>
      <c r="C47" s="362"/>
      <c r="D47" s="362"/>
      <c r="E47" s="362"/>
      <c r="F47" s="362"/>
      <c r="G47" s="362"/>
      <c r="H47" s="362"/>
    </row>
  </sheetData>
  <sheetProtection algorithmName="SHA-512" hashValue="N/fC/kh9Zdamu3MdNylMtAUQ6AlM7am5atdFEDUsmyB5ZhuDytOP+DrW/9jY2uMAxj1lGwoD84AknwOkp7VVeA==" saltValue="IqWdk9Z231MLf6Dm+MwcTQ==" spinCount="100000" sheet="1" objects="1" scenarios="1"/>
  <protectedRanges>
    <protectedRange sqref="H15:H20 H28:H33 C15:F20 C28:F33 C40:H43" name="Raspon1"/>
  </protectedRanges>
  <mergeCells count="45">
    <mergeCell ref="B1:H1"/>
    <mergeCell ref="B2:H2"/>
    <mergeCell ref="B8:H8"/>
    <mergeCell ref="B10:H10"/>
    <mergeCell ref="B11:B13"/>
    <mergeCell ref="D11:E13"/>
    <mergeCell ref="G11:G13"/>
    <mergeCell ref="H11:H13"/>
    <mergeCell ref="C11:C13"/>
    <mergeCell ref="D14:E14"/>
    <mergeCell ref="D15:E15"/>
    <mergeCell ref="D31:E31"/>
    <mergeCell ref="D20:E20"/>
    <mergeCell ref="B21:F21"/>
    <mergeCell ref="D27:E27"/>
    <mergeCell ref="D28:E28"/>
    <mergeCell ref="D18:E18"/>
    <mergeCell ref="D30:E30"/>
    <mergeCell ref="D29:E29"/>
    <mergeCell ref="D16:E16"/>
    <mergeCell ref="D17:E17"/>
    <mergeCell ref="D19:E19"/>
    <mergeCell ref="B23:H23"/>
    <mergeCell ref="B24:B26"/>
    <mergeCell ref="C24:C26"/>
    <mergeCell ref="B47:H47"/>
    <mergeCell ref="C41:E41"/>
    <mergeCell ref="C42:E42"/>
    <mergeCell ref="C43:E43"/>
    <mergeCell ref="B46:H46"/>
    <mergeCell ref="B44:E44"/>
    <mergeCell ref="D24:E26"/>
    <mergeCell ref="B34:F34"/>
    <mergeCell ref="J24:J26"/>
    <mergeCell ref="C40:E40"/>
    <mergeCell ref="G24:G26"/>
    <mergeCell ref="D33:E33"/>
    <mergeCell ref="B36:H36"/>
    <mergeCell ref="C37:E38"/>
    <mergeCell ref="F37:F38"/>
    <mergeCell ref="D32:E32"/>
    <mergeCell ref="G37:H37"/>
    <mergeCell ref="H24:H26"/>
    <mergeCell ref="C39:E39"/>
    <mergeCell ref="B37:B38"/>
  </mergeCell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2 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2" width="28.5703125" style="25" customWidth="1"/>
    <col min="13" max="16384" width="8.85546875" style="25"/>
  </cols>
  <sheetData>
    <row r="1" spans="1:10" s="59" customFormat="1" ht="24" customHeight="1" x14ac:dyDescent="0.2">
      <c r="B1" s="369"/>
      <c r="C1" s="369"/>
      <c r="D1" s="369"/>
      <c r="E1" s="369"/>
      <c r="F1" s="369"/>
      <c r="G1" s="369"/>
      <c r="H1" s="369"/>
    </row>
    <row r="2" spans="1:10" ht="47.25" customHeight="1" x14ac:dyDescent="0.2">
      <c r="B2" s="352" t="s">
        <v>486</v>
      </c>
      <c r="C2" s="353"/>
      <c r="D2" s="353"/>
      <c r="E2" s="353"/>
      <c r="F2" s="353"/>
      <c r="G2" s="353"/>
      <c r="H2" s="354"/>
    </row>
    <row r="3" spans="1:10" ht="15" customHeight="1" x14ac:dyDescent="0.2">
      <c r="B3" s="310" t="s">
        <v>0</v>
      </c>
      <c r="C3" s="335" t="s">
        <v>89</v>
      </c>
      <c r="D3" s="335" t="s">
        <v>18</v>
      </c>
      <c r="E3" s="355"/>
      <c r="F3" s="357" t="s">
        <v>107</v>
      </c>
      <c r="G3" s="374"/>
      <c r="H3" s="377" t="s">
        <v>487</v>
      </c>
    </row>
    <row r="4" spans="1:10" ht="15" customHeight="1" x14ac:dyDescent="0.2">
      <c r="B4" s="305"/>
      <c r="C4" s="339"/>
      <c r="D4" s="339"/>
      <c r="E4" s="356"/>
      <c r="F4" s="114" t="s">
        <v>420</v>
      </c>
      <c r="G4" s="111" t="s">
        <v>421</v>
      </c>
      <c r="H4" s="360"/>
    </row>
    <row r="5" spans="1:10" s="64" customFormat="1" ht="12" customHeight="1" x14ac:dyDescent="0.2">
      <c r="A5" s="59"/>
      <c r="B5" s="2">
        <v>1</v>
      </c>
      <c r="C5" s="106">
        <v>2</v>
      </c>
      <c r="D5" s="262">
        <v>3</v>
      </c>
      <c r="E5" s="263"/>
      <c r="F5" s="106">
        <v>4</v>
      </c>
      <c r="G5" s="118">
        <v>5</v>
      </c>
      <c r="H5" s="92">
        <v>6</v>
      </c>
      <c r="I5" s="25"/>
    </row>
    <row r="6" spans="1:10" ht="25.15" customHeight="1" x14ac:dyDescent="0.2">
      <c r="B6" s="2" t="s">
        <v>1</v>
      </c>
      <c r="C6" s="90"/>
      <c r="D6" s="350"/>
      <c r="E6" s="378"/>
      <c r="F6" s="119"/>
      <c r="G6" s="119"/>
      <c r="H6" s="135"/>
      <c r="J6" s="63"/>
    </row>
    <row r="7" spans="1:10" ht="25.15" customHeight="1" x14ac:dyDescent="0.2">
      <c r="B7" s="2" t="s">
        <v>2</v>
      </c>
      <c r="C7" s="90"/>
      <c r="D7" s="350"/>
      <c r="E7" s="378"/>
      <c r="F7" s="119"/>
      <c r="G7" s="119"/>
      <c r="H7" s="135"/>
      <c r="J7" s="63"/>
    </row>
    <row r="8" spans="1:10" ht="25.15" customHeight="1" x14ac:dyDescent="0.2">
      <c r="B8" s="2" t="s">
        <v>3</v>
      </c>
      <c r="C8" s="90"/>
      <c r="D8" s="350"/>
      <c r="E8" s="378"/>
      <c r="F8" s="119"/>
      <c r="G8" s="119"/>
      <c r="H8" s="135"/>
      <c r="J8" s="63"/>
    </row>
    <row r="9" spans="1:10" ht="25.15" customHeight="1" x14ac:dyDescent="0.2">
      <c r="B9" s="367" t="s">
        <v>493</v>
      </c>
      <c r="C9" s="368"/>
      <c r="D9" s="375" t="str">
        <f>IF(D6&amp;D7&amp;D8="","",N(D6)+N(D7)+N(D8))</f>
        <v/>
      </c>
      <c r="E9" s="376" t="e">
        <f>IF(E6&amp;E7&amp;E8&amp;#REF!="","",N(E6)+N(E7)+N(E8)+N(#REF!))</f>
        <v>#REF!</v>
      </c>
      <c r="F9" s="51" t="str">
        <f>IF(F6&amp;F7&amp;F8="","",N(F6)+N(F7)+N(F8))</f>
        <v/>
      </c>
      <c r="G9" s="51" t="str">
        <f>IF(G6&amp;G7&amp;G8="","",N(G6)+N(G7)+N(G8))</f>
        <v/>
      </c>
      <c r="H9" s="136" t="str">
        <f>IF(Dohodak_4_1_4&amp;Dohodak_5="","",IF(N(Dohodak_5)=0,0,N(Dohodak_4_1_4)/N(Dohodak_5)))</f>
        <v/>
      </c>
    </row>
    <row r="10" spans="1:10" ht="6" customHeight="1" x14ac:dyDescent="0.2"/>
    <row r="11" spans="1:10" ht="25.9" customHeight="1" x14ac:dyDescent="0.2">
      <c r="B11" s="373" t="s">
        <v>488</v>
      </c>
      <c r="C11" s="353"/>
      <c r="D11" s="353"/>
      <c r="E11" s="353"/>
      <c r="F11" s="353"/>
      <c r="G11" s="353"/>
      <c r="H11" s="354"/>
    </row>
    <row r="12" spans="1:10" ht="10.15" customHeight="1" x14ac:dyDescent="0.2">
      <c r="B12" s="304" t="s">
        <v>0</v>
      </c>
      <c r="C12" s="337" t="s">
        <v>23</v>
      </c>
      <c r="D12" s="335" t="s">
        <v>489</v>
      </c>
      <c r="E12" s="355"/>
      <c r="F12" s="116" t="s">
        <v>27</v>
      </c>
      <c r="G12" s="348" t="s">
        <v>18</v>
      </c>
      <c r="H12" s="359" t="s">
        <v>491</v>
      </c>
      <c r="J12" s="344" t="s">
        <v>588</v>
      </c>
    </row>
    <row r="13" spans="1:10" ht="10.15" customHeight="1" x14ac:dyDescent="0.2">
      <c r="B13" s="304"/>
      <c r="C13" s="337"/>
      <c r="D13" s="337"/>
      <c r="E13" s="379"/>
      <c r="F13" s="113" t="s">
        <v>29</v>
      </c>
      <c r="G13" s="348"/>
      <c r="H13" s="359"/>
      <c r="J13" s="345"/>
    </row>
    <row r="14" spans="1:10" ht="10.15" customHeight="1" x14ac:dyDescent="0.2">
      <c r="B14" s="305"/>
      <c r="C14" s="339"/>
      <c r="D14" s="339"/>
      <c r="E14" s="356"/>
      <c r="F14" s="114" t="s">
        <v>417</v>
      </c>
      <c r="G14" s="349"/>
      <c r="H14" s="360"/>
      <c r="J14" s="345"/>
    </row>
    <row r="15" spans="1:10" s="64" customFormat="1" ht="12" customHeight="1" x14ac:dyDescent="0.2">
      <c r="A15" s="59"/>
      <c r="B15" s="2">
        <v>1</v>
      </c>
      <c r="C15" s="106">
        <v>2</v>
      </c>
      <c r="D15" s="262">
        <v>3</v>
      </c>
      <c r="E15" s="263"/>
      <c r="F15" s="106">
        <v>4</v>
      </c>
      <c r="G15" s="118" t="s">
        <v>81</v>
      </c>
      <c r="H15" s="92">
        <v>6</v>
      </c>
      <c r="I15" s="25"/>
      <c r="J15" s="180">
        <v>7</v>
      </c>
    </row>
    <row r="16" spans="1:10" ht="25.15" customHeight="1" x14ac:dyDescent="0.2">
      <c r="B16" s="2" t="s">
        <v>1</v>
      </c>
      <c r="C16" s="90"/>
      <c r="D16" s="350"/>
      <c r="E16" s="378"/>
      <c r="F16" s="119"/>
      <c r="G16" s="142" t="str">
        <f>IF(D16&amp;F16="","",N(D16)-N(F16))</f>
        <v/>
      </c>
      <c r="H16" s="76"/>
      <c r="J16" s="181"/>
    </row>
    <row r="17" spans="1:10" ht="25.15" customHeight="1" x14ac:dyDescent="0.2">
      <c r="B17" s="2" t="s">
        <v>2</v>
      </c>
      <c r="C17" s="90"/>
      <c r="D17" s="350"/>
      <c r="E17" s="378"/>
      <c r="F17" s="119"/>
      <c r="G17" s="142" t="str">
        <f>IF(D17&amp;F17="","",N(D17)-N(F17))</f>
        <v/>
      </c>
      <c r="H17" s="76"/>
      <c r="J17" s="181"/>
    </row>
    <row r="18" spans="1:10" ht="25.15" customHeight="1" x14ac:dyDescent="0.2">
      <c r="B18" s="2" t="s">
        <v>3</v>
      </c>
      <c r="C18" s="90"/>
      <c r="D18" s="350"/>
      <c r="E18" s="378"/>
      <c r="F18" s="119"/>
      <c r="G18" s="142" t="str">
        <f>IF(D18&amp;F18="","",N(D18)-N(F18))</f>
        <v/>
      </c>
      <c r="H18" s="76"/>
      <c r="J18" s="181"/>
    </row>
    <row r="19" spans="1:10" ht="25.15" customHeight="1" x14ac:dyDescent="0.2">
      <c r="B19" s="2" t="s">
        <v>4</v>
      </c>
      <c r="C19" s="90"/>
      <c r="D19" s="350"/>
      <c r="E19" s="378"/>
      <c r="F19" s="119"/>
      <c r="G19" s="142" t="str">
        <f>IF(D19&amp;F19="","",N(D19)-N(F19))</f>
        <v/>
      </c>
      <c r="H19" s="76"/>
      <c r="J19" s="181"/>
    </row>
    <row r="20" spans="1:10" ht="25.15" customHeight="1" x14ac:dyDescent="0.2">
      <c r="B20" s="2" t="s">
        <v>5</v>
      </c>
      <c r="C20" s="90"/>
      <c r="D20" s="350"/>
      <c r="E20" s="378"/>
      <c r="F20" s="119"/>
      <c r="G20" s="142" t="str">
        <f>IF(D20&amp;F20="","",N(D20)-N(F20))</f>
        <v/>
      </c>
      <c r="H20" s="76"/>
      <c r="J20" s="181"/>
    </row>
    <row r="21" spans="1:10" ht="25.15" customHeight="1" x14ac:dyDescent="0.2">
      <c r="B21" s="341" t="s">
        <v>474</v>
      </c>
      <c r="C21" s="342"/>
      <c r="D21" s="343"/>
      <c r="E21" s="343"/>
      <c r="F21" s="343"/>
      <c r="G21" s="51" t="str">
        <f>IF(G16&amp;G17&amp;G18&amp;G19&amp;G20="","",N(G16)+N(G17)+N(G18)+N(G19)+N(G20))</f>
        <v/>
      </c>
      <c r="H21" s="51" t="str">
        <f>IF(H16&amp;H17&amp;H18&amp;H19&amp;H20="","",N(H16)+N(H17)+N(H18)+N(H19)+N(H20))</f>
        <v/>
      </c>
      <c r="J21" s="136" t="str">
        <f>IF(Dohodak_4_1_5&amp;Dohodak_5="","",IF(N(Dohodak_5)=0,0,N(Dohodak_4_1_5)/N(Dohodak_5)))</f>
        <v/>
      </c>
    </row>
    <row r="22" spans="1:10" ht="6" customHeight="1" x14ac:dyDescent="0.2"/>
    <row r="23" spans="1:10" ht="33.75" customHeight="1" x14ac:dyDescent="0.2">
      <c r="B23" s="352" t="s">
        <v>498</v>
      </c>
      <c r="C23" s="353"/>
      <c r="D23" s="353"/>
      <c r="E23" s="353"/>
      <c r="F23" s="353"/>
      <c r="G23" s="353"/>
      <c r="H23" s="354"/>
    </row>
    <row r="24" spans="1:10" ht="15" customHeight="1" x14ac:dyDescent="0.2">
      <c r="B24" s="310" t="s">
        <v>0</v>
      </c>
      <c r="C24" s="335" t="s">
        <v>89</v>
      </c>
      <c r="D24" s="335" t="s">
        <v>18</v>
      </c>
      <c r="E24" s="355"/>
      <c r="F24" s="357" t="s">
        <v>107</v>
      </c>
      <c r="G24" s="374"/>
      <c r="H24" s="377" t="s">
        <v>496</v>
      </c>
    </row>
    <row r="25" spans="1:10" ht="15" customHeight="1" x14ac:dyDescent="0.2">
      <c r="B25" s="305"/>
      <c r="C25" s="339"/>
      <c r="D25" s="339"/>
      <c r="E25" s="356"/>
      <c r="F25" s="114" t="s">
        <v>420</v>
      </c>
      <c r="G25" s="111" t="s">
        <v>421</v>
      </c>
      <c r="H25" s="360"/>
    </row>
    <row r="26" spans="1:10" s="64" customFormat="1" ht="12" customHeight="1" x14ac:dyDescent="0.2">
      <c r="A26" s="59"/>
      <c r="B26" s="2">
        <v>1</v>
      </c>
      <c r="C26" s="106">
        <v>2</v>
      </c>
      <c r="D26" s="262">
        <v>3</v>
      </c>
      <c r="E26" s="263"/>
      <c r="F26" s="106">
        <v>4</v>
      </c>
      <c r="G26" s="118">
        <v>5</v>
      </c>
      <c r="H26" s="92">
        <v>6</v>
      </c>
      <c r="I26" s="25"/>
    </row>
    <row r="27" spans="1:10" ht="25.15" customHeight="1" x14ac:dyDescent="0.2">
      <c r="B27" s="2" t="s">
        <v>1</v>
      </c>
      <c r="C27" s="90"/>
      <c r="D27" s="350"/>
      <c r="E27" s="378"/>
      <c r="F27" s="119"/>
      <c r="G27" s="119"/>
      <c r="H27" s="135"/>
      <c r="J27" s="63"/>
    </row>
    <row r="28" spans="1:10" ht="25.15" customHeight="1" x14ac:dyDescent="0.2">
      <c r="B28" s="2" t="s">
        <v>2</v>
      </c>
      <c r="C28" s="90"/>
      <c r="D28" s="350"/>
      <c r="E28" s="378"/>
      <c r="F28" s="119"/>
      <c r="G28" s="119"/>
      <c r="H28" s="135"/>
      <c r="J28" s="63"/>
    </row>
    <row r="29" spans="1:10" ht="25.15" customHeight="1" x14ac:dyDescent="0.2">
      <c r="B29" s="2" t="s">
        <v>3</v>
      </c>
      <c r="C29" s="90"/>
      <c r="D29" s="350"/>
      <c r="E29" s="378"/>
      <c r="F29" s="119"/>
      <c r="G29" s="119"/>
      <c r="H29" s="135"/>
      <c r="J29" s="63"/>
    </row>
    <row r="30" spans="1:10" ht="25.15" customHeight="1" x14ac:dyDescent="0.2">
      <c r="B30" s="367" t="s">
        <v>494</v>
      </c>
      <c r="C30" s="368"/>
      <c r="D30" s="375" t="str">
        <f>IF(D27&amp;D28&amp;D29="","",N(D27)+N(D28)+N(D29))</f>
        <v/>
      </c>
      <c r="E30" s="376" t="e">
        <f>IF(E27&amp;E28&amp;E29&amp;#REF!="","",N(E27)+N(E28)+N(E29)+N(#REF!))</f>
        <v>#REF!</v>
      </c>
      <c r="F30" s="51" t="str">
        <f>IF(F27&amp;F28&amp;F29="","",N(F27)+N(F28)+N(F29))</f>
        <v/>
      </c>
      <c r="G30" s="51" t="str">
        <f>IF(G27&amp;G28&amp;G29="","",N(G27)+N(G28)+N(G29))</f>
        <v/>
      </c>
      <c r="H30" s="136" t="str">
        <f>IF(Dohodak_4_1_6&amp;Dohodak_5="","",IF(N(Dohodak_5)=0,0,N(Dohodak_4_1_6)/N(Dohodak_5)))</f>
        <v/>
      </c>
    </row>
    <row r="31" spans="1:10" ht="6" customHeight="1" x14ac:dyDescent="0.2"/>
    <row r="32" spans="1:10" ht="25.5" customHeight="1" x14ac:dyDescent="0.2">
      <c r="B32" s="386" t="s">
        <v>499</v>
      </c>
      <c r="C32" s="387"/>
      <c r="D32" s="387"/>
      <c r="E32" s="388"/>
      <c r="F32" s="382" t="s">
        <v>18</v>
      </c>
      <c r="G32" s="384" t="s">
        <v>107</v>
      </c>
      <c r="H32" s="385"/>
    </row>
    <row r="33" spans="1:12" ht="25.5" customHeight="1" x14ac:dyDescent="0.2">
      <c r="B33" s="389"/>
      <c r="C33" s="390"/>
      <c r="D33" s="390"/>
      <c r="E33" s="391"/>
      <c r="F33" s="383"/>
      <c r="G33" s="137" t="s">
        <v>420</v>
      </c>
      <c r="H33" s="138" t="s">
        <v>421</v>
      </c>
    </row>
    <row r="34" spans="1:12" ht="25.5" customHeight="1" x14ac:dyDescent="0.2">
      <c r="B34" s="392"/>
      <c r="C34" s="393"/>
      <c r="D34" s="393"/>
      <c r="E34" s="394"/>
      <c r="F34" s="51" t="str">
        <f>IF(Dohodak_4_1_1&amp;Dohodak_4_1_2&amp;Dohodak_4_1_3&amp;Dohodak_4_1_4&amp;Dohodak_4_1_5&amp;Dohodak_4_1_6="","",N(Dohodak_4_1_1)+N(Dohodak_4_1_2)+N(Dohodak_4_1_3)+N(Dohodak_4_1_4)+N(Dohodak_4_1_5)+N(Dohodak_4_1_6))</f>
        <v/>
      </c>
      <c r="G34" s="51" t="str">
        <f>IF(Porez_4_1_1&amp;Porez_4_1_2&amp;Tuzemni_4_1_3&amp;Tuzemni_4_1_4&amp;Porez_4_1_5&amp;Tuzemni_4_1_6="","",N(Porez_4_1_1)+N(Porez_4_1_2)+N(Tuzemni_4_1_3)+N(Tuzemni_4_1_4)+N(Porez_4_1_5)+N(Tuzemni_4_1_6))</f>
        <v/>
      </c>
      <c r="H34" s="51" t="str">
        <f>IF(Inozemni_4_1_3&amp;Inozemni_4_1_4&amp;Inozemni_4_1_6="","",N(Inozemni_4_1_3)+N(Inozemni_4_1_4)+N(Inozemni_4_1_6))</f>
        <v/>
      </c>
    </row>
    <row r="35" spans="1:12" ht="6" customHeight="1" x14ac:dyDescent="0.2"/>
    <row r="36" spans="1:12" ht="36.6" customHeight="1" x14ac:dyDescent="0.2">
      <c r="B36" s="395" t="s">
        <v>500</v>
      </c>
      <c r="C36" s="396"/>
      <c r="D36" s="396"/>
      <c r="E36" s="396"/>
      <c r="F36" s="396"/>
      <c r="G36" s="396"/>
      <c r="H36" s="397"/>
    </row>
    <row r="37" spans="1:12" ht="28.9" customHeight="1" x14ac:dyDescent="0.2">
      <c r="B37" s="109" t="s">
        <v>0</v>
      </c>
      <c r="C37" s="348" t="s">
        <v>25</v>
      </c>
      <c r="D37" s="348"/>
      <c r="E37" s="348" t="s">
        <v>495</v>
      </c>
      <c r="F37" s="348"/>
      <c r="G37" s="348" t="s">
        <v>497</v>
      </c>
      <c r="H37" s="359"/>
    </row>
    <row r="38" spans="1:12" s="64" customFormat="1" ht="13.15" customHeight="1" x14ac:dyDescent="0.2">
      <c r="A38" s="59"/>
      <c r="B38" s="109" t="s">
        <v>370</v>
      </c>
      <c r="C38" s="398" t="s">
        <v>371</v>
      </c>
      <c r="D38" s="405"/>
      <c r="E38" s="398" t="s">
        <v>372</v>
      </c>
      <c r="F38" s="399"/>
      <c r="G38" s="380" t="s">
        <v>373</v>
      </c>
      <c r="H38" s="381"/>
      <c r="I38" s="25"/>
    </row>
    <row r="39" spans="1:12" ht="25.15" customHeight="1" x14ac:dyDescent="0.2">
      <c r="B39" s="2" t="s">
        <v>1</v>
      </c>
      <c r="C39" s="400"/>
      <c r="D39" s="400"/>
      <c r="E39" s="401"/>
      <c r="F39" s="402"/>
      <c r="G39" s="403" t="str">
        <f>IF(Iznos_4_1_8_1="","",IF(Dohodak_5="",0,Iznos_4_1_8_1/Dohodak_5))</f>
        <v/>
      </c>
      <c r="H39" s="404"/>
    </row>
    <row r="40" spans="1:12" ht="25.15" customHeight="1" x14ac:dyDescent="0.2">
      <c r="B40" s="8" t="s">
        <v>2</v>
      </c>
      <c r="C40" s="408"/>
      <c r="D40" s="408"/>
      <c r="E40" s="409"/>
      <c r="F40" s="410"/>
      <c r="G40" s="403" t="str">
        <f>IF(Iznos_4_1_8_2="","",IF(Dohodak_5="",0,Iznos_4_1_8_2/Dohodak_5))</f>
        <v/>
      </c>
      <c r="H40" s="404"/>
    </row>
    <row r="41" spans="1:12" ht="6" customHeight="1" x14ac:dyDescent="0.2"/>
    <row r="42" spans="1:12" s="24" customFormat="1" ht="10.5" customHeight="1" x14ac:dyDescent="0.25">
      <c r="B42" s="406" t="s">
        <v>501</v>
      </c>
      <c r="C42" s="406"/>
      <c r="D42" s="406"/>
      <c r="E42" s="406"/>
      <c r="F42" s="406"/>
      <c r="G42" s="406"/>
      <c r="H42" s="406"/>
      <c r="I42" s="132"/>
      <c r="J42" s="132"/>
      <c r="K42" s="132"/>
      <c r="L42" s="132"/>
    </row>
    <row r="43" spans="1:12" s="24" customFormat="1" ht="10.5" customHeight="1" x14ac:dyDescent="0.25">
      <c r="B43" s="407" t="s">
        <v>502</v>
      </c>
      <c r="C43" s="407"/>
      <c r="D43" s="407"/>
      <c r="E43" s="407"/>
      <c r="F43" s="407"/>
      <c r="G43" s="407"/>
      <c r="H43" s="407"/>
      <c r="I43" s="132"/>
      <c r="J43" s="132"/>
      <c r="K43" s="132"/>
      <c r="L43" s="132"/>
    </row>
    <row r="44" spans="1:12" ht="24" customHeight="1" x14ac:dyDescent="0.2">
      <c r="B44" s="362"/>
      <c r="C44" s="362"/>
      <c r="D44" s="362"/>
      <c r="E44" s="362"/>
      <c r="F44" s="362"/>
      <c r="G44" s="362"/>
      <c r="H44" s="362"/>
    </row>
  </sheetData>
  <sheetProtection algorithmName="SHA-512" hashValue="9LBC7rb3PEMVUExvxTZVh90B2KqxLBHA8RLXiO6vl+bR4B2odWQ4xOpEXuuO6Ee9E+uoIO5Tj4RJFjBSttDqlw==" saltValue="UoFwnDInfciTMv5NQJcOVQ==" spinCount="100000" sheet="1" objects="1" scenarios="1"/>
  <protectedRanges>
    <protectedRange sqref="C16:F20 C6:H8 H16:H20 C39:F40 C27:H29" name="Raspon1"/>
  </protectedRanges>
  <mergeCells count="58">
    <mergeCell ref="B2:H2"/>
    <mergeCell ref="B1:H1"/>
    <mergeCell ref="D19:E19"/>
    <mergeCell ref="D3:E4"/>
    <mergeCell ref="D15:E15"/>
    <mergeCell ref="D16:E16"/>
    <mergeCell ref="D7:E7"/>
    <mergeCell ref="D5:E5"/>
    <mergeCell ref="D8:E8"/>
    <mergeCell ref="D17:E17"/>
    <mergeCell ref="B44:H44"/>
    <mergeCell ref="G37:H37"/>
    <mergeCell ref="E37:F37"/>
    <mergeCell ref="C37:D37"/>
    <mergeCell ref="E38:F38"/>
    <mergeCell ref="C39:D39"/>
    <mergeCell ref="E39:F39"/>
    <mergeCell ref="G39:H39"/>
    <mergeCell ref="C38:D38"/>
    <mergeCell ref="B42:H42"/>
    <mergeCell ref="B43:H43"/>
    <mergeCell ref="C40:D40"/>
    <mergeCell ref="E40:F40"/>
    <mergeCell ref="G40:H40"/>
    <mergeCell ref="B30:C30"/>
    <mergeCell ref="D30:E30"/>
    <mergeCell ref="D18:E18"/>
    <mergeCell ref="G38:H38"/>
    <mergeCell ref="F32:F33"/>
    <mergeCell ref="D26:E26"/>
    <mergeCell ref="D27:E27"/>
    <mergeCell ref="D28:E28"/>
    <mergeCell ref="D29:E29"/>
    <mergeCell ref="G32:H32"/>
    <mergeCell ref="B32:E34"/>
    <mergeCell ref="B36:H36"/>
    <mergeCell ref="B24:B25"/>
    <mergeCell ref="B21:F21"/>
    <mergeCell ref="D20:E20"/>
    <mergeCell ref="C24:C25"/>
    <mergeCell ref="D24:E25"/>
    <mergeCell ref="F24:G24"/>
    <mergeCell ref="D6:E6"/>
    <mergeCell ref="B11:H11"/>
    <mergeCell ref="B12:B14"/>
    <mergeCell ref="C12:C14"/>
    <mergeCell ref="D12:E14"/>
    <mergeCell ref="G12:G14"/>
    <mergeCell ref="H12:H14"/>
    <mergeCell ref="H24:H25"/>
    <mergeCell ref="J12:J14"/>
    <mergeCell ref="F3:G3"/>
    <mergeCell ref="B9:C9"/>
    <mergeCell ref="D9:E9"/>
    <mergeCell ref="B23:H23"/>
    <mergeCell ref="B3:B4"/>
    <mergeCell ref="C3:C4"/>
    <mergeCell ref="H3:H4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2023&amp;C&amp;"Arial,Uobičajeno"&amp;8RRiF-ov obrazac  ©  rrif.hr&amp;R&amp;"Arial,Uobičajeno"&amp;8Stranica 3 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5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2.85546875" style="25" customWidth="1"/>
    <col min="4" max="8" width="14.85546875" style="25" customWidth="1"/>
    <col min="9" max="9" width="4.42578125" style="25" customWidth="1"/>
    <col min="10" max="16384" width="8.85546875" style="25"/>
  </cols>
  <sheetData>
    <row r="1" spans="1:9" s="5" customFormat="1" ht="24" customHeight="1" x14ac:dyDescent="0.25">
      <c r="B1" s="159"/>
      <c r="C1" s="159"/>
      <c r="D1" s="159"/>
      <c r="E1" s="159"/>
      <c r="F1" s="159"/>
      <c r="G1" s="159"/>
      <c r="H1" s="159"/>
      <c r="I1" s="159"/>
    </row>
    <row r="2" spans="1:9" s="59" customFormat="1" ht="14.45" customHeight="1" x14ac:dyDescent="0.2">
      <c r="H2" s="31" t="s">
        <v>506</v>
      </c>
    </row>
    <row r="3" spans="1:9" ht="25.5" customHeight="1" x14ac:dyDescent="0.2">
      <c r="B3" s="370" t="s">
        <v>503</v>
      </c>
      <c r="C3" s="371"/>
      <c r="D3" s="371"/>
      <c r="E3" s="371"/>
      <c r="F3" s="371"/>
      <c r="G3" s="371"/>
      <c r="H3" s="372"/>
    </row>
    <row r="4" spans="1:9" ht="6" customHeight="1" x14ac:dyDescent="0.2"/>
    <row r="5" spans="1:9" s="66" customFormat="1" ht="25.5" customHeight="1" x14ac:dyDescent="0.25">
      <c r="A5" s="60"/>
      <c r="B5" s="370" t="s">
        <v>504</v>
      </c>
      <c r="C5" s="371"/>
      <c r="D5" s="371"/>
      <c r="E5" s="371"/>
      <c r="F5" s="371"/>
      <c r="G5" s="371"/>
      <c r="H5" s="372"/>
    </row>
    <row r="6" spans="1:9" s="24" customFormat="1" ht="34.5" customHeight="1" x14ac:dyDescent="0.25">
      <c r="A6" s="60"/>
      <c r="B6" s="96" t="s">
        <v>0</v>
      </c>
      <c r="C6" s="123" t="s">
        <v>505</v>
      </c>
      <c r="D6" s="123" t="s">
        <v>82</v>
      </c>
      <c r="E6" s="123" t="s">
        <v>83</v>
      </c>
      <c r="F6" s="123" t="s">
        <v>84</v>
      </c>
      <c r="G6" s="101" t="s">
        <v>18</v>
      </c>
      <c r="H6" s="124" t="s">
        <v>491</v>
      </c>
      <c r="I6" s="66"/>
    </row>
    <row r="7" spans="1:9" s="65" customFormat="1" ht="14.45" customHeight="1" x14ac:dyDescent="0.25">
      <c r="A7" s="60"/>
      <c r="B7" s="2">
        <v>1</v>
      </c>
      <c r="C7" s="100">
        <v>2</v>
      </c>
      <c r="D7" s="106">
        <v>3</v>
      </c>
      <c r="E7" s="106">
        <v>4</v>
      </c>
      <c r="F7" s="106">
        <v>5</v>
      </c>
      <c r="G7" s="112" t="s">
        <v>17</v>
      </c>
      <c r="H7" s="108">
        <v>7</v>
      </c>
      <c r="I7" s="66"/>
    </row>
    <row r="8" spans="1:9" s="4" customFormat="1" ht="36" customHeight="1" x14ac:dyDescent="0.25">
      <c r="A8" s="60"/>
      <c r="B8" s="3" t="s">
        <v>1</v>
      </c>
      <c r="C8" s="103" t="s">
        <v>509</v>
      </c>
      <c r="D8" s="119"/>
      <c r="E8" s="119"/>
      <c r="F8" s="119"/>
      <c r="G8" s="142" t="str">
        <f>IF(D8&amp;E8&amp;F8="","",N(D8)-N(E8)-N(F8))</f>
        <v/>
      </c>
      <c r="H8" s="76"/>
      <c r="I8" s="66"/>
    </row>
    <row r="9" spans="1:9" s="4" customFormat="1" ht="30" customHeight="1" x14ac:dyDescent="0.25">
      <c r="A9" s="60"/>
      <c r="B9" s="3" t="s">
        <v>2</v>
      </c>
      <c r="C9" s="103" t="s">
        <v>508</v>
      </c>
      <c r="D9" s="119"/>
      <c r="E9" s="119"/>
      <c r="F9" s="119"/>
      <c r="G9" s="142" t="str">
        <f t="shared" ref="G9:G16" si="0">IF(D9&amp;E9&amp;F9="","",N(D9)-N(E9)-N(F9))</f>
        <v/>
      </c>
      <c r="H9" s="76"/>
      <c r="I9" s="66"/>
    </row>
    <row r="10" spans="1:9" s="4" customFormat="1" ht="70.5" customHeight="1" x14ac:dyDescent="0.25">
      <c r="A10" s="60"/>
      <c r="B10" s="88" t="s">
        <v>3</v>
      </c>
      <c r="C10" s="102" t="s">
        <v>507</v>
      </c>
      <c r="D10" s="119"/>
      <c r="E10" s="119"/>
      <c r="F10" s="119"/>
      <c r="G10" s="142" t="str">
        <f t="shared" si="0"/>
        <v/>
      </c>
      <c r="H10" s="76"/>
      <c r="I10" s="66"/>
    </row>
    <row r="11" spans="1:9" s="4" customFormat="1" ht="36" customHeight="1" x14ac:dyDescent="0.25">
      <c r="A11" s="60"/>
      <c r="B11" s="3" t="s">
        <v>4</v>
      </c>
      <c r="C11" s="102" t="s">
        <v>85</v>
      </c>
      <c r="D11" s="119"/>
      <c r="E11" s="119"/>
      <c r="F11" s="119"/>
      <c r="G11" s="142" t="str">
        <f t="shared" si="0"/>
        <v/>
      </c>
      <c r="H11" s="76"/>
      <c r="I11" s="66"/>
    </row>
    <row r="12" spans="1:9" s="4" customFormat="1" ht="48" customHeight="1" x14ac:dyDescent="0.25">
      <c r="A12" s="60"/>
      <c r="B12" s="88" t="s">
        <v>5</v>
      </c>
      <c r="C12" s="102" t="s">
        <v>510</v>
      </c>
      <c r="D12" s="119"/>
      <c r="E12" s="119"/>
      <c r="F12" s="119"/>
      <c r="G12" s="142" t="str">
        <f t="shared" si="0"/>
        <v/>
      </c>
      <c r="H12" s="76"/>
      <c r="I12" s="66"/>
    </row>
    <row r="13" spans="1:9" s="4" customFormat="1" ht="48" customHeight="1" x14ac:dyDescent="0.25">
      <c r="A13" s="60"/>
      <c r="B13" s="88" t="s">
        <v>6</v>
      </c>
      <c r="C13" s="102" t="s">
        <v>511</v>
      </c>
      <c r="D13" s="119"/>
      <c r="E13" s="119"/>
      <c r="F13" s="72"/>
      <c r="G13" s="142" t="str">
        <f t="shared" si="0"/>
        <v/>
      </c>
      <c r="H13" s="76"/>
      <c r="I13" s="66"/>
    </row>
    <row r="14" spans="1:9" s="4" customFormat="1" ht="36" customHeight="1" x14ac:dyDescent="0.25">
      <c r="A14" s="60"/>
      <c r="B14" s="3" t="s">
        <v>7</v>
      </c>
      <c r="C14" s="102" t="s">
        <v>86</v>
      </c>
      <c r="D14" s="119"/>
      <c r="E14" s="119"/>
      <c r="F14" s="119"/>
      <c r="G14" s="142" t="str">
        <f t="shared" si="0"/>
        <v/>
      </c>
      <c r="H14" s="76"/>
      <c r="I14" s="66"/>
    </row>
    <row r="15" spans="1:9" s="4" customFormat="1" ht="36" customHeight="1" x14ac:dyDescent="0.25">
      <c r="A15" s="60"/>
      <c r="B15" s="3" t="s">
        <v>8</v>
      </c>
      <c r="C15" s="102" t="s">
        <v>512</v>
      </c>
      <c r="D15" s="119"/>
      <c r="E15" s="119"/>
      <c r="F15" s="72"/>
      <c r="G15" s="142" t="str">
        <f t="shared" si="0"/>
        <v/>
      </c>
      <c r="H15" s="76"/>
      <c r="I15" s="66"/>
    </row>
    <row r="16" spans="1:9" s="4" customFormat="1" ht="30" customHeight="1" x14ac:dyDescent="0.25">
      <c r="A16" s="60"/>
      <c r="B16" s="3" t="s">
        <v>444</v>
      </c>
      <c r="C16" s="102" t="s">
        <v>87</v>
      </c>
      <c r="D16" s="119"/>
      <c r="E16" s="119"/>
      <c r="F16" s="119"/>
      <c r="G16" s="142" t="str">
        <f t="shared" si="0"/>
        <v/>
      </c>
      <c r="H16" s="76"/>
      <c r="I16" s="66"/>
    </row>
    <row r="17" spans="1:9" s="4" customFormat="1" ht="30.6" customHeight="1" x14ac:dyDescent="0.25">
      <c r="A17" s="60"/>
      <c r="B17" s="411" t="s">
        <v>513</v>
      </c>
      <c r="C17" s="412"/>
      <c r="D17" s="412"/>
      <c r="E17" s="412"/>
      <c r="F17" s="414"/>
      <c r="G17" s="51" t="str">
        <f>IF(G8&amp;G9&amp;G10&amp;G11&amp;G12&amp;G13&amp;G14&amp;G15&amp;G16="","",N(G8)+N(G9)+N(G10)+N(G11)+N(G12)+N(G13)+N(G14)+N(G15)+N(G16))</f>
        <v/>
      </c>
      <c r="H17" s="51" t="str">
        <f>IF(H8&amp;H9&amp;H10&amp;H11&amp;H12&amp;H13&amp;H14&amp;H15&amp;H16="","",N(H8)+N(H9)+N(H10)+N(H11)+N(H12)+N(H13)+N(H14)+N(H15)+N(H16))</f>
        <v/>
      </c>
      <c r="I17" s="66"/>
    </row>
    <row r="18" spans="1:9" s="4" customFormat="1" ht="6" customHeight="1" x14ac:dyDescent="0.25">
      <c r="A18" s="60"/>
      <c r="G18" s="139"/>
      <c r="I18" s="66"/>
    </row>
    <row r="19" spans="1:9" s="66" customFormat="1" ht="33.75" customHeight="1" x14ac:dyDescent="0.25">
      <c r="A19" s="60"/>
      <c r="B19" s="413" t="s">
        <v>514</v>
      </c>
      <c r="C19" s="371"/>
      <c r="D19" s="371"/>
      <c r="E19" s="371"/>
      <c r="F19" s="371"/>
      <c r="G19" s="371"/>
      <c r="H19" s="372"/>
    </row>
    <row r="20" spans="1:9" s="24" customFormat="1" ht="15" customHeight="1" x14ac:dyDescent="0.25">
      <c r="A20" s="60"/>
      <c r="B20" s="310" t="s">
        <v>0</v>
      </c>
      <c r="C20" s="420" t="s">
        <v>88</v>
      </c>
      <c r="D20" s="421"/>
      <c r="E20" s="420" t="s">
        <v>18</v>
      </c>
      <c r="F20" s="421"/>
      <c r="G20" s="417" t="s">
        <v>107</v>
      </c>
      <c r="H20" s="418"/>
      <c r="I20" s="66"/>
    </row>
    <row r="21" spans="1:9" s="24" customFormat="1" ht="15" customHeight="1" x14ac:dyDescent="0.25">
      <c r="A21" s="60"/>
      <c r="B21" s="305"/>
      <c r="C21" s="422"/>
      <c r="D21" s="423"/>
      <c r="E21" s="422"/>
      <c r="F21" s="423"/>
      <c r="G21" s="117" t="s">
        <v>420</v>
      </c>
      <c r="H21" s="99" t="s">
        <v>421</v>
      </c>
      <c r="I21" s="66"/>
    </row>
    <row r="22" spans="1:9" s="65" customFormat="1" ht="11.45" customHeight="1" x14ac:dyDescent="0.25">
      <c r="A22" s="60"/>
      <c r="B22" s="2">
        <v>1</v>
      </c>
      <c r="C22" s="262">
        <v>2</v>
      </c>
      <c r="D22" s="361"/>
      <c r="E22" s="262">
        <v>4</v>
      </c>
      <c r="F22" s="361"/>
      <c r="G22" s="106">
        <v>5</v>
      </c>
      <c r="H22" s="92">
        <v>6</v>
      </c>
      <c r="I22" s="66"/>
    </row>
    <row r="23" spans="1:9" s="4" customFormat="1" ht="26.45" customHeight="1" x14ac:dyDescent="0.25">
      <c r="A23" s="60"/>
      <c r="B23" s="3" t="s">
        <v>1</v>
      </c>
      <c r="C23" s="415"/>
      <c r="D23" s="416"/>
      <c r="E23" s="350"/>
      <c r="F23" s="351"/>
      <c r="G23" s="119"/>
      <c r="H23" s="76"/>
      <c r="I23" s="66"/>
    </row>
    <row r="24" spans="1:9" s="4" customFormat="1" ht="27" customHeight="1" x14ac:dyDescent="0.25">
      <c r="A24" s="60"/>
      <c r="B24" s="3" t="s">
        <v>2</v>
      </c>
      <c r="C24" s="415"/>
      <c r="D24" s="416"/>
      <c r="E24" s="350"/>
      <c r="F24" s="351"/>
      <c r="G24" s="119"/>
      <c r="H24" s="76"/>
      <c r="I24" s="66"/>
    </row>
    <row r="25" spans="1:9" s="4" customFormat="1" ht="27" customHeight="1" x14ac:dyDescent="0.25">
      <c r="A25" s="60"/>
      <c r="B25" s="3" t="s">
        <v>3</v>
      </c>
      <c r="C25" s="415"/>
      <c r="D25" s="416"/>
      <c r="E25" s="350"/>
      <c r="F25" s="351"/>
      <c r="G25" s="119"/>
      <c r="H25" s="76"/>
      <c r="I25" s="66"/>
    </row>
    <row r="26" spans="1:9" s="4" customFormat="1" ht="27" customHeight="1" x14ac:dyDescent="0.25">
      <c r="A26" s="60"/>
      <c r="B26" s="3" t="s">
        <v>4</v>
      </c>
      <c r="C26" s="415"/>
      <c r="D26" s="416"/>
      <c r="E26" s="350"/>
      <c r="F26" s="351"/>
      <c r="G26" s="119"/>
      <c r="H26" s="76"/>
      <c r="I26" s="66"/>
    </row>
    <row r="27" spans="1:9" s="4" customFormat="1" ht="27" customHeight="1" x14ac:dyDescent="0.25">
      <c r="A27" s="60"/>
      <c r="B27" s="3" t="s">
        <v>5</v>
      </c>
      <c r="C27" s="415"/>
      <c r="D27" s="416"/>
      <c r="E27" s="426"/>
      <c r="F27" s="427"/>
      <c r="G27" s="119"/>
      <c r="H27" s="76"/>
      <c r="I27" s="66"/>
    </row>
    <row r="28" spans="1:9" s="4" customFormat="1" ht="27" customHeight="1" x14ac:dyDescent="0.25">
      <c r="A28" s="60"/>
      <c r="B28" s="32" t="s">
        <v>6</v>
      </c>
      <c r="C28" s="424"/>
      <c r="D28" s="425"/>
      <c r="E28" s="428"/>
      <c r="F28" s="429"/>
      <c r="G28" s="119"/>
      <c r="H28" s="76"/>
      <c r="I28" s="66"/>
    </row>
    <row r="29" spans="1:9" s="4" customFormat="1" ht="30.6" customHeight="1" x14ac:dyDescent="0.25">
      <c r="A29" s="60"/>
      <c r="B29" s="411" t="s">
        <v>515</v>
      </c>
      <c r="C29" s="412"/>
      <c r="D29" s="412"/>
      <c r="E29" s="375" t="str">
        <f>IF(E23&amp;E24&amp;E25&amp;E26&amp;E27&amp;E28="","",N(E23)+N(E24)+N(E25)+N(E26)+N(E27)+N(E28))</f>
        <v/>
      </c>
      <c r="F29" s="376" t="str">
        <f>IF(F20&amp;F21&amp;F22&amp;F23&amp;F24&amp;F25&amp;F26&amp;F27&amp;F28="","",N(F20)+N(F21)+N(F22)+N(F23)+N(F24)+N(F25)+N(F26)+N(F27)+N(F28))</f>
        <v/>
      </c>
      <c r="G29" s="51" t="str">
        <f>IF(G23&amp;G24&amp;G25&amp;G26&amp;G27&amp;G28="","",N(G23)+N(G24)+N(G25)+N(G26)+N(G27)+N(G28))</f>
        <v/>
      </c>
      <c r="H29" s="51" t="str">
        <f>IF(H23&amp;H24&amp;H25&amp;H26&amp;H27&amp;H28="","",N(H23)+N(H24)+N(H25)+N(H26)+N(H27)+N(H28))</f>
        <v/>
      </c>
      <c r="I29" s="66"/>
    </row>
    <row r="30" spans="1:9" ht="6" customHeight="1" x14ac:dyDescent="0.2"/>
    <row r="31" spans="1:9" ht="24" customHeight="1" x14ac:dyDescent="0.2">
      <c r="B31" s="386" t="s">
        <v>516</v>
      </c>
      <c r="C31" s="387"/>
      <c r="D31" s="387"/>
      <c r="E31" s="388"/>
      <c r="F31" s="382" t="s">
        <v>18</v>
      </c>
      <c r="G31" s="384" t="s">
        <v>107</v>
      </c>
      <c r="H31" s="385"/>
    </row>
    <row r="32" spans="1:9" ht="24" customHeight="1" x14ac:dyDescent="0.2">
      <c r="B32" s="389"/>
      <c r="C32" s="390"/>
      <c r="D32" s="390"/>
      <c r="E32" s="391"/>
      <c r="F32" s="383"/>
      <c r="G32" s="137" t="s">
        <v>420</v>
      </c>
      <c r="H32" s="138" t="s">
        <v>421</v>
      </c>
    </row>
    <row r="33" spans="1:8" ht="24" customHeight="1" x14ac:dyDescent="0.2">
      <c r="B33" s="392"/>
      <c r="C33" s="393"/>
      <c r="D33" s="393"/>
      <c r="E33" s="394"/>
      <c r="F33" s="51" t="str">
        <f>IF(Dohodak_4_2_1&amp;Dohodak_4_2_2="","",N(Dohodak_4_2_1)+N(Dohodak_4_2_2))</f>
        <v/>
      </c>
      <c r="G33" s="51" t="str">
        <f>IF(Porez_4_2_1&amp;Tuzemni_4_2_2="","",N(Porez_4_2_1)+N(Tuzemni_4_2_2))</f>
        <v/>
      </c>
      <c r="H33" s="51" t="str">
        <f>IF(Inozemni_4_2_2="","",N(Inozemni_4_2_2))</f>
        <v/>
      </c>
    </row>
    <row r="34" spans="1:8" s="4" customFormat="1" ht="24" customHeight="1" x14ac:dyDescent="0.25">
      <c r="A34" s="5"/>
      <c r="B34" s="419"/>
      <c r="C34" s="419"/>
      <c r="D34" s="419"/>
      <c r="E34" s="419"/>
      <c r="F34" s="419"/>
      <c r="G34" s="419"/>
      <c r="H34" s="120"/>
    </row>
    <row r="35" spans="1:8" s="4" customFormat="1" ht="12.75" x14ac:dyDescent="0.25">
      <c r="A35" s="5"/>
    </row>
    <row r="36" spans="1:8" s="4" customFormat="1" ht="12.75" x14ac:dyDescent="0.25">
      <c r="A36" s="5"/>
    </row>
    <row r="37" spans="1:8" s="4" customFormat="1" ht="12.75" x14ac:dyDescent="0.25">
      <c r="A37" s="5"/>
    </row>
    <row r="38" spans="1:8" s="4" customFormat="1" ht="12.75" x14ac:dyDescent="0.25">
      <c r="A38" s="5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34" customFormat="1" x14ac:dyDescent="0.25">
      <c r="A95" s="5"/>
    </row>
  </sheetData>
  <sheetProtection algorithmName="SHA-512" hashValue="gIwwaEha13OzpmO/fNYEbtfNHdU/QK3vX5XArKZGVF15kCB1sCEPDum/py4Kg99stM5X/io1xxJ2QFHUnxCa6w==" saltValue="9KLnEWVRW4cCxljSgscJ3A==" spinCount="100000" sheet="1" objects="1" scenarios="1"/>
  <protectedRanges>
    <protectedRange sqref="E9 E14:E15 F8 F16 E10:F10 H8:H16 F11:F13 D8:D16 C23:H28" name="Raspon1"/>
  </protectedRanges>
  <mergeCells count="28">
    <mergeCell ref="B34:G34"/>
    <mergeCell ref="C22:D22"/>
    <mergeCell ref="C23:D23"/>
    <mergeCell ref="C20:D21"/>
    <mergeCell ref="C27:D27"/>
    <mergeCell ref="C28:D28"/>
    <mergeCell ref="E22:F22"/>
    <mergeCell ref="B31:E33"/>
    <mergeCell ref="F31:F32"/>
    <mergeCell ref="G31:H31"/>
    <mergeCell ref="E24:F24"/>
    <mergeCell ref="C25:D25"/>
    <mergeCell ref="E25:F25"/>
    <mergeCell ref="E27:F27"/>
    <mergeCell ref="E28:F28"/>
    <mergeCell ref="E20:F21"/>
    <mergeCell ref="E29:F29"/>
    <mergeCell ref="B29:D29"/>
    <mergeCell ref="B19:H19"/>
    <mergeCell ref="B3:H3"/>
    <mergeCell ref="B5:H5"/>
    <mergeCell ref="B17:F17"/>
    <mergeCell ref="C26:D26"/>
    <mergeCell ref="E26:F26"/>
    <mergeCell ref="C24:D24"/>
    <mergeCell ref="E23:F23"/>
    <mergeCell ref="G20:H20"/>
    <mergeCell ref="B20:B21"/>
  </mergeCells>
  <printOptions horizontalCentered="1"/>
  <pageMargins left="0.39370078740157483" right="0.39370078740157483" top="0.47244094488188981" bottom="0.47244094488188981" header="0" footer="0.19685039370078741"/>
  <pageSetup paperSize="9" scale="91" orientation="portrait" r:id="rId1"/>
  <headerFooter>
    <oddFooter>&amp;L&amp;"Arial,Uobičajeno"&amp;8          DOH 2023&amp;C&amp;"Arial,Uobičajeno"&amp;8RRiF-ov obrazac  ©  rrif.hr&amp;R&amp;"Arial,Uobičajeno"&amp;8Stranica 4         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0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13.140625" style="25" customWidth="1"/>
    <col min="4" max="5" width="6.5703125" style="25" customWidth="1"/>
    <col min="6" max="7" width="13.140625" style="25" customWidth="1"/>
    <col min="8" max="9" width="6.5703125" style="25" customWidth="1"/>
    <col min="10" max="12" width="13.140625" style="25" customWidth="1"/>
    <col min="13" max="13" width="4.42578125" style="25" customWidth="1"/>
    <col min="14" max="16384" width="8.85546875" style="25"/>
  </cols>
  <sheetData>
    <row r="1" spans="1:13" s="59" customFormat="1" ht="24" customHeight="1" x14ac:dyDescent="0.2"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3" s="59" customFormat="1" ht="14.45" customHeight="1" x14ac:dyDescent="0.2">
      <c r="K2" s="31"/>
      <c r="L2" s="31" t="s">
        <v>30</v>
      </c>
    </row>
    <row r="3" spans="1:13" ht="58.5" customHeight="1" x14ac:dyDescent="0.2">
      <c r="B3" s="413" t="s">
        <v>530</v>
      </c>
      <c r="C3" s="482"/>
      <c r="D3" s="482"/>
      <c r="E3" s="482"/>
      <c r="F3" s="482"/>
      <c r="G3" s="482"/>
      <c r="H3" s="482"/>
      <c r="I3" s="482"/>
      <c r="J3" s="482"/>
      <c r="K3" s="482"/>
      <c r="L3" s="483"/>
      <c r="M3" s="59"/>
    </row>
    <row r="4" spans="1:13" ht="19.149999999999999" customHeight="1" x14ac:dyDescent="0.2">
      <c r="B4" s="489" t="s">
        <v>528</v>
      </c>
      <c r="C4" s="490"/>
      <c r="D4" s="490"/>
      <c r="E4" s="490"/>
      <c r="F4" s="484" t="str">
        <f>IF(OIB="","",OIB)</f>
        <v/>
      </c>
      <c r="G4" s="485"/>
      <c r="H4" s="486"/>
      <c r="I4" s="487"/>
      <c r="J4" s="487"/>
      <c r="K4" s="487"/>
      <c r="L4" s="487"/>
      <c r="M4" s="59"/>
    </row>
    <row r="5" spans="1:13" s="34" customFormat="1" ht="6" customHeight="1" x14ac:dyDescent="0.2">
      <c r="A5" s="59"/>
      <c r="M5" s="59"/>
    </row>
    <row r="6" spans="1:13" s="34" customFormat="1" ht="24" customHeight="1" x14ac:dyDescent="0.2">
      <c r="A6" s="59"/>
      <c r="B6" s="447" t="s">
        <v>517</v>
      </c>
      <c r="C6" s="448"/>
      <c r="D6" s="448"/>
      <c r="E6" s="448"/>
      <c r="F6" s="448"/>
      <c r="G6" s="448"/>
      <c r="H6" s="448"/>
      <c r="I6" s="448"/>
      <c r="J6" s="448"/>
      <c r="K6" s="448"/>
      <c r="L6" s="449"/>
      <c r="M6" s="59"/>
    </row>
    <row r="7" spans="1:13" s="34" customFormat="1" ht="17.25" customHeight="1" x14ac:dyDescent="0.2">
      <c r="A7" s="59"/>
      <c r="B7" s="476" t="s">
        <v>518</v>
      </c>
      <c r="C7" s="477"/>
      <c r="D7" s="477"/>
      <c r="E7" s="477"/>
      <c r="F7" s="477"/>
      <c r="G7" s="477"/>
      <c r="H7" s="477"/>
      <c r="I7" s="477"/>
      <c r="J7" s="477"/>
      <c r="K7" s="477"/>
      <c r="L7" s="478"/>
      <c r="M7" s="59"/>
    </row>
    <row r="8" spans="1:13" s="4" customFormat="1" ht="10.15" customHeight="1" x14ac:dyDescent="0.2">
      <c r="A8" s="59"/>
      <c r="B8" s="310" t="s">
        <v>0</v>
      </c>
      <c r="C8" s="467" t="s">
        <v>31</v>
      </c>
      <c r="D8" s="293" t="s">
        <v>32</v>
      </c>
      <c r="E8" s="295"/>
      <c r="F8" s="494" t="s">
        <v>35</v>
      </c>
      <c r="G8" s="495"/>
      <c r="H8" s="335" t="s">
        <v>40</v>
      </c>
      <c r="I8" s="336"/>
      <c r="J8" s="335" t="s">
        <v>41</v>
      </c>
      <c r="K8" s="335" t="s">
        <v>107</v>
      </c>
      <c r="L8" s="463"/>
      <c r="M8" s="59"/>
    </row>
    <row r="9" spans="1:13" s="4" customFormat="1" ht="10.15" customHeight="1" x14ac:dyDescent="0.2">
      <c r="A9" s="59"/>
      <c r="B9" s="304"/>
      <c r="C9" s="496"/>
      <c r="D9" s="242" t="s">
        <v>33</v>
      </c>
      <c r="E9" s="265"/>
      <c r="F9" s="35" t="s">
        <v>36</v>
      </c>
      <c r="G9" s="498" t="s">
        <v>38</v>
      </c>
      <c r="H9" s="337"/>
      <c r="I9" s="338"/>
      <c r="J9" s="337"/>
      <c r="K9" s="337"/>
      <c r="L9" s="464"/>
      <c r="M9" s="59"/>
    </row>
    <row r="10" spans="1:13" s="4" customFormat="1" ht="10.15" customHeight="1" x14ac:dyDescent="0.2">
      <c r="A10" s="59"/>
      <c r="B10" s="304"/>
      <c r="C10" s="496"/>
      <c r="D10" s="439" t="s">
        <v>34</v>
      </c>
      <c r="E10" s="440"/>
      <c r="F10" s="35" t="s">
        <v>37</v>
      </c>
      <c r="G10" s="499"/>
      <c r="H10" s="337"/>
      <c r="I10" s="338"/>
      <c r="J10" s="337"/>
      <c r="K10" s="337" t="s">
        <v>420</v>
      </c>
      <c r="L10" s="464" t="s">
        <v>421</v>
      </c>
      <c r="M10" s="59"/>
    </row>
    <row r="11" spans="1:13" s="4" customFormat="1" ht="10.15" customHeight="1" x14ac:dyDescent="0.2">
      <c r="A11" s="59"/>
      <c r="B11" s="305"/>
      <c r="C11" s="497"/>
      <c r="D11" s="491" t="s">
        <v>520</v>
      </c>
      <c r="E11" s="492"/>
      <c r="F11" s="93" t="s">
        <v>80</v>
      </c>
      <c r="G11" s="500"/>
      <c r="H11" s="339"/>
      <c r="I11" s="340"/>
      <c r="J11" s="339"/>
      <c r="K11" s="339"/>
      <c r="L11" s="465"/>
      <c r="M11" s="59"/>
    </row>
    <row r="12" spans="1:13" s="24" customFormat="1" ht="14.45" customHeight="1" x14ac:dyDescent="0.2">
      <c r="A12" s="59"/>
      <c r="B12" s="2">
        <v>1</v>
      </c>
      <c r="C12" s="118">
        <v>2</v>
      </c>
      <c r="D12" s="262">
        <v>3</v>
      </c>
      <c r="E12" s="361"/>
      <c r="F12" s="118">
        <v>4</v>
      </c>
      <c r="G12" s="118">
        <v>5</v>
      </c>
      <c r="H12" s="306" t="s">
        <v>39</v>
      </c>
      <c r="I12" s="308"/>
      <c r="J12" s="110" t="s">
        <v>42</v>
      </c>
      <c r="K12" s="118">
        <v>8</v>
      </c>
      <c r="L12" s="108">
        <v>9</v>
      </c>
      <c r="M12" s="59"/>
    </row>
    <row r="13" spans="1:13" s="4" customFormat="1" ht="19.149999999999999" customHeight="1" x14ac:dyDescent="0.2">
      <c r="A13" s="59"/>
      <c r="B13" s="3" t="s">
        <v>1</v>
      </c>
      <c r="C13" s="119"/>
      <c r="D13" s="430" t="str">
        <f>IF(Ukupno_4_3_5="","",Ukupno_4_3_5)</f>
        <v/>
      </c>
      <c r="E13" s="430"/>
      <c r="F13" s="119"/>
      <c r="G13" s="119"/>
      <c r="H13" s="430" t="str">
        <f>IF(C13&amp;D13&amp;G13="","",IF(IF(C13="",0,C13)-IF(D13="",0,D13)+IF(G13="",0,G13)&lt;0,-(IF(C13="",0,C13)-IF(D13="",0,D13)+IF(G13="",0,G13)),""))</f>
        <v/>
      </c>
      <c r="I13" s="430"/>
      <c r="J13" s="142" t="str">
        <f>IF(C13&amp;D13&amp;G13="","",IF(IF(C13="",0,C13)-IF(D13="",0,D13)+IF(G13="",0,G13)&gt;=0,IF(C13="",0,C13)-IF(D13="",0,D13)+IF(G13="",0,G13),""))</f>
        <v/>
      </c>
      <c r="K13" s="119"/>
      <c r="L13" s="76"/>
      <c r="M13" s="59"/>
    </row>
    <row r="14" spans="1:13" s="4" customFormat="1" ht="19.149999999999999" customHeight="1" x14ac:dyDescent="0.2">
      <c r="A14" s="59"/>
      <c r="B14" s="3" t="s">
        <v>2</v>
      </c>
      <c r="C14" s="119"/>
      <c r="D14" s="350"/>
      <c r="E14" s="378"/>
      <c r="F14" s="119"/>
      <c r="G14" s="119"/>
      <c r="H14" s="430" t="str">
        <f>IF(C14&amp;D14&amp;G14="","",IF(IF(C14="",0,C14)-IF(D14="",0,D14)+IF(G14="",0,G14)&lt;0,-(IF(C14="",0,C14)-IF(D14="",0,D14)+IF(G14="",0,G14)),""))</f>
        <v/>
      </c>
      <c r="I14" s="430"/>
      <c r="J14" s="142" t="str">
        <f>IF(C14&amp;D14&amp;G14="","",IF(IF(C14="",0,C14)-IF(D14="",0,D14)+IF(G14="",0,G14)&gt;=0,IF(C14="",0,C14)-IF(D14="",0,D14)+IF(G14="",0,G14),""))</f>
        <v/>
      </c>
      <c r="K14" s="119"/>
      <c r="L14" s="76"/>
      <c r="M14" s="59"/>
    </row>
    <row r="15" spans="1:13" s="4" customFormat="1" ht="19.149999999999999" customHeight="1" x14ac:dyDescent="0.2">
      <c r="A15" s="59"/>
      <c r="B15" s="32" t="s">
        <v>3</v>
      </c>
      <c r="C15" s="178"/>
      <c r="D15" s="428"/>
      <c r="E15" s="466"/>
      <c r="F15" s="178"/>
      <c r="G15" s="178"/>
      <c r="H15" s="473" t="str">
        <f>IF(C15&amp;D15&amp;G15="","",IF(IF(C15="",0,C15)-IF(D15="",0,D15)+IF(G15="",0,G15)&lt;0,-(IF(C15="",0,C15)-IF(D15="",0,D15)+IF(G15="",0,G15)),""))</f>
        <v/>
      </c>
      <c r="I15" s="473"/>
      <c r="J15" s="146" t="str">
        <f>IF(C15&amp;D15&amp;G15="","",IF(IF(C15="",0,C15)-IF(D15="",0,D15)+IF(G15="",0,G15)&gt;=0,IF(C15="",0,C15)-IF(D15="",0,D15)+IF(G15="",0,G15),""))</f>
        <v/>
      </c>
      <c r="K15" s="178"/>
      <c r="L15" s="145"/>
      <c r="M15" s="59"/>
    </row>
    <row r="16" spans="1:13" s="34" customFormat="1" ht="17.25" customHeight="1" x14ac:dyDescent="0.2">
      <c r="A16" s="59"/>
      <c r="B16" s="476" t="s">
        <v>519</v>
      </c>
      <c r="C16" s="477"/>
      <c r="D16" s="477"/>
      <c r="E16" s="477"/>
      <c r="F16" s="477"/>
      <c r="G16" s="477"/>
      <c r="H16" s="477"/>
      <c r="I16" s="477"/>
      <c r="J16" s="477"/>
      <c r="K16" s="477"/>
      <c r="L16" s="478"/>
      <c r="M16" s="59"/>
    </row>
    <row r="17" spans="1:13" s="24" customFormat="1" ht="14.45" customHeight="1" x14ac:dyDescent="0.2">
      <c r="A17" s="59"/>
      <c r="B17" s="143">
        <v>1</v>
      </c>
      <c r="C17" s="431" t="s">
        <v>89</v>
      </c>
      <c r="D17" s="493"/>
      <c r="E17" s="493"/>
      <c r="F17" s="493"/>
      <c r="G17" s="432"/>
      <c r="H17" s="431">
        <v>6</v>
      </c>
      <c r="I17" s="432"/>
      <c r="J17" s="140">
        <v>7</v>
      </c>
      <c r="K17" s="94">
        <v>8</v>
      </c>
      <c r="L17" s="144">
        <v>9</v>
      </c>
      <c r="M17" s="59"/>
    </row>
    <row r="18" spans="1:13" s="4" customFormat="1" ht="19.149999999999999" customHeight="1" x14ac:dyDescent="0.2">
      <c r="A18" s="59"/>
      <c r="B18" s="3" t="s">
        <v>1</v>
      </c>
      <c r="C18" s="441"/>
      <c r="D18" s="442"/>
      <c r="E18" s="442"/>
      <c r="F18" s="442"/>
      <c r="G18" s="443"/>
      <c r="H18" s="450"/>
      <c r="I18" s="450"/>
      <c r="J18" s="147"/>
      <c r="K18" s="119"/>
      <c r="L18" s="76"/>
      <c r="M18" s="59"/>
    </row>
    <row r="19" spans="1:13" s="4" customFormat="1" ht="19.149999999999999" customHeight="1" x14ac:dyDescent="0.2">
      <c r="A19" s="59"/>
      <c r="B19" s="3" t="s">
        <v>2</v>
      </c>
      <c r="C19" s="441"/>
      <c r="D19" s="442"/>
      <c r="E19" s="442"/>
      <c r="F19" s="442"/>
      <c r="G19" s="443"/>
      <c r="H19" s="450" t="str">
        <f>IF(C19&amp;D19&amp;G19="","",IF(IF(C19="",0,C19)-IF(D19="",0,D19)+IF(G19="",0,G19)&lt;0,-(IF(C19="",0,C19)-IF(D19="",0,D19)+IF(G19="",0,G19)),""))</f>
        <v/>
      </c>
      <c r="I19" s="450"/>
      <c r="J19" s="147" t="str">
        <f>IF(C19&amp;D19&amp;G19="","",IF(IF(C19="",0,C19)-IF(D19="",0,D19)+IF(G19="",0,G19)&gt;=0,IF(C19="",0,C19)-IF(D19="",0,D19)+IF(G19="",0,G19),""))</f>
        <v/>
      </c>
      <c r="K19" s="119"/>
      <c r="L19" s="76"/>
      <c r="M19" s="59"/>
    </row>
    <row r="20" spans="1:13" s="4" customFormat="1" ht="19.149999999999999" customHeight="1" x14ac:dyDescent="0.2">
      <c r="A20" s="59"/>
      <c r="B20" s="88" t="s">
        <v>3</v>
      </c>
      <c r="C20" s="452"/>
      <c r="D20" s="453"/>
      <c r="E20" s="453"/>
      <c r="F20" s="453"/>
      <c r="G20" s="454"/>
      <c r="H20" s="451" t="str">
        <f>IF(C20&amp;D20&amp;G20="","",IF(IF(C20="",0,C20)-IF(D20="",0,D20)+IF(G20="",0,G20)&lt;0,-(IF(C20="",0,C20)-IF(D20="",0,D20)+IF(G20="",0,G20)),""))</f>
        <v/>
      </c>
      <c r="I20" s="451"/>
      <c r="J20" s="148" t="str">
        <f>IF(C20&amp;D20&amp;G20="","",IF(IF(C20="",0,C20)-IF(D20="",0,D20)+IF(G20="",0,G20)&gt;=0,IF(C20="",0,C20)-IF(D20="",0,D20)+IF(G20="",0,G20),""))</f>
        <v/>
      </c>
      <c r="K20" s="119"/>
      <c r="L20" s="76"/>
      <c r="M20" s="59"/>
    </row>
    <row r="21" spans="1:13" s="4" customFormat="1" ht="21.6" customHeight="1" x14ac:dyDescent="0.2">
      <c r="A21" s="59"/>
      <c r="B21" s="501" t="s">
        <v>521</v>
      </c>
      <c r="C21" s="502"/>
      <c r="D21" s="502"/>
      <c r="E21" s="502"/>
      <c r="F21" s="502"/>
      <c r="G21" s="503"/>
      <c r="H21" s="375" t="str">
        <f>IF(H13&amp;H14&amp;H15&amp;H18&amp;H19&amp;H20="","",N(H13)+N(H14)+N(H15)+N(H18)+N(H19)+N(H20))</f>
        <v/>
      </c>
      <c r="I21" s="376"/>
      <c r="J21" s="51" t="str">
        <f>IF(J13&amp;J14&amp;J15&amp;J18&amp;J19&amp;J20="","",N(J13)+N(J14)+N(J15)+N(J18)+N(J19)+N(J20))</f>
        <v/>
      </c>
      <c r="K21" s="51" t="str">
        <f>IF(K13&amp;K14&amp;K15&amp;K18&amp;K19&amp;K20="","",N(K13)+N(K14)+N(K15)+N(K18)+N(K19)+N(K20))</f>
        <v/>
      </c>
      <c r="L21" s="51" t="str">
        <f>IF(L13&amp;L14&amp;L15&amp;L18&amp;L19&amp;L20="","",N(L13)+N(L14)+N(L15)+N(L18)+N(L19)+N(L20))</f>
        <v/>
      </c>
      <c r="M21" s="59"/>
    </row>
    <row r="22" spans="1:13" s="4" customFormat="1" ht="6" customHeight="1" x14ac:dyDescent="0.2">
      <c r="A22" s="59"/>
      <c r="J22" s="36"/>
      <c r="M22" s="59"/>
    </row>
    <row r="23" spans="1:13" s="4" customFormat="1" ht="24" customHeight="1" x14ac:dyDescent="0.2">
      <c r="A23" s="59"/>
      <c r="B23" s="447" t="s">
        <v>522</v>
      </c>
      <c r="C23" s="448"/>
      <c r="D23" s="448"/>
      <c r="E23" s="448"/>
      <c r="F23" s="448"/>
      <c r="G23" s="448"/>
      <c r="H23" s="448"/>
      <c r="I23" s="449"/>
      <c r="J23" s="51" t="str">
        <f>IF(C43=ZaGodinu,G43,IF(C44=ZaGodinu,G44,IF(C45=ZaGodinu,G45,IF(C46=ZaGodinu,G46,IF(C47=ZaGodinu,G47,IF(C48=ZaGodinu,G48,""))))))</f>
        <v/>
      </c>
      <c r="K23" s="37"/>
      <c r="L23" s="37"/>
      <c r="M23" s="59"/>
    </row>
    <row r="24" spans="1:13" s="4" customFormat="1" ht="6" customHeight="1" x14ac:dyDescent="0.2">
      <c r="A24" s="59"/>
      <c r="H24" s="38"/>
      <c r="I24" s="30"/>
      <c r="J24" s="39"/>
      <c r="M24" s="59"/>
    </row>
    <row r="25" spans="1:13" s="4" customFormat="1" ht="30" customHeight="1" x14ac:dyDescent="0.2">
      <c r="A25" s="59"/>
      <c r="B25" s="447" t="s">
        <v>531</v>
      </c>
      <c r="C25" s="448"/>
      <c r="D25" s="448"/>
      <c r="E25" s="448"/>
      <c r="F25" s="448"/>
      <c r="G25" s="448"/>
      <c r="H25" s="448"/>
      <c r="I25" s="449"/>
      <c r="J25" s="51" t="str">
        <f>IF(Dohodak_4_3_1&amp;Umanjenje_4_3_2="","",N(Dohodak_4_3_1)-N(Umanjenje_4_3_2))</f>
        <v/>
      </c>
      <c r="K25" s="51" t="str">
        <f>IF(Tuzemni_4_3_1="","",N(Tuzemni_4_3_1))</f>
        <v/>
      </c>
      <c r="L25" s="51" t="str">
        <f>IF(Inozemni_4_3_1="","",N(Inozemni_4_3_1))</f>
        <v/>
      </c>
      <c r="M25" s="59"/>
    </row>
    <row r="26" spans="1:13" s="4" customFormat="1" ht="6" customHeight="1" x14ac:dyDescent="0.2">
      <c r="A26" s="59"/>
      <c r="K26" s="85"/>
      <c r="L26" s="85"/>
      <c r="M26" s="59"/>
    </row>
    <row r="27" spans="1:13" s="4" customFormat="1" ht="24" customHeight="1" x14ac:dyDescent="0.2">
      <c r="A27" s="59"/>
      <c r="B27" s="447" t="s">
        <v>532</v>
      </c>
      <c r="C27" s="448"/>
      <c r="D27" s="448"/>
      <c r="E27" s="448"/>
      <c r="F27" s="448"/>
      <c r="G27" s="448"/>
      <c r="H27" s="448"/>
      <c r="I27" s="448"/>
      <c r="J27" s="449"/>
      <c r="K27" s="474" t="str">
        <f>IF(Predujam_9_7_2="","",N(Predujam_9_7_2))</f>
        <v/>
      </c>
      <c r="L27" s="475"/>
      <c r="M27" s="59"/>
    </row>
    <row r="28" spans="1:13" s="4" customFormat="1" ht="6" customHeight="1" x14ac:dyDescent="0.2">
      <c r="A28" s="59"/>
      <c r="K28" s="30"/>
      <c r="L28" s="30"/>
      <c r="M28" s="59"/>
    </row>
    <row r="29" spans="1:13" s="34" customFormat="1" ht="24" customHeight="1" x14ac:dyDescent="0.2">
      <c r="A29" s="59"/>
      <c r="B29" s="447" t="s">
        <v>523</v>
      </c>
      <c r="C29" s="448"/>
      <c r="D29" s="448"/>
      <c r="E29" s="448"/>
      <c r="F29" s="448"/>
      <c r="G29" s="448"/>
      <c r="H29" s="448"/>
      <c r="I29" s="448"/>
      <c r="J29" s="448"/>
      <c r="K29" s="448"/>
      <c r="L29" s="449"/>
      <c r="M29" s="59"/>
    </row>
    <row r="30" spans="1:13" s="4" customFormat="1" ht="21" customHeight="1" x14ac:dyDescent="0.2">
      <c r="A30" s="59"/>
      <c r="B30" s="96" t="s">
        <v>0</v>
      </c>
      <c r="C30" s="494" t="s">
        <v>43</v>
      </c>
      <c r="D30" s="433"/>
      <c r="E30" s="433"/>
      <c r="F30" s="433"/>
      <c r="G30" s="433"/>
      <c r="H30" s="433"/>
      <c r="I30" s="433"/>
      <c r="J30" s="495"/>
      <c r="K30" s="433" t="s">
        <v>44</v>
      </c>
      <c r="L30" s="434"/>
      <c r="M30" s="59"/>
    </row>
    <row r="31" spans="1:13" s="65" customFormat="1" ht="13.15" customHeight="1" x14ac:dyDescent="0.2">
      <c r="A31" s="59"/>
      <c r="B31" s="2">
        <v>1</v>
      </c>
      <c r="C31" s="262">
        <v>2</v>
      </c>
      <c r="D31" s="263"/>
      <c r="E31" s="263"/>
      <c r="F31" s="263"/>
      <c r="G31" s="263"/>
      <c r="H31" s="263"/>
      <c r="I31" s="263"/>
      <c r="J31" s="361"/>
      <c r="K31" s="263">
        <v>3</v>
      </c>
      <c r="L31" s="264"/>
      <c r="M31" s="59"/>
    </row>
    <row r="32" spans="1:13" s="4" customFormat="1" ht="19.149999999999999" customHeight="1" x14ac:dyDescent="0.2">
      <c r="A32" s="59"/>
      <c r="B32" s="3" t="s">
        <v>1</v>
      </c>
      <c r="C32" s="444" t="s">
        <v>45</v>
      </c>
      <c r="D32" s="445"/>
      <c r="E32" s="445"/>
      <c r="F32" s="445"/>
      <c r="G32" s="445"/>
      <c r="H32" s="445"/>
      <c r="I32" s="445"/>
      <c r="J32" s="446"/>
      <c r="K32" s="350"/>
      <c r="L32" s="488"/>
      <c r="M32" s="59"/>
    </row>
    <row r="33" spans="1:13" s="4" customFormat="1" ht="19.149999999999999" customHeight="1" x14ac:dyDescent="0.2">
      <c r="A33" s="59"/>
      <c r="B33" s="3" t="s">
        <v>2</v>
      </c>
      <c r="C33" s="444" t="s">
        <v>407</v>
      </c>
      <c r="D33" s="445"/>
      <c r="E33" s="445"/>
      <c r="F33" s="445"/>
      <c r="G33" s="445"/>
      <c r="H33" s="445"/>
      <c r="I33" s="445"/>
      <c r="J33" s="446"/>
      <c r="K33" s="350"/>
      <c r="L33" s="488"/>
      <c r="M33" s="59"/>
    </row>
    <row r="34" spans="1:13" s="4" customFormat="1" ht="19.149999999999999" customHeight="1" x14ac:dyDescent="0.2">
      <c r="A34" s="59"/>
      <c r="B34" s="3" t="s">
        <v>3</v>
      </c>
      <c r="C34" s="444" t="s">
        <v>408</v>
      </c>
      <c r="D34" s="445"/>
      <c r="E34" s="445"/>
      <c r="F34" s="445"/>
      <c r="G34" s="445"/>
      <c r="H34" s="445"/>
      <c r="I34" s="445"/>
      <c r="J34" s="446"/>
      <c r="K34" s="350"/>
      <c r="L34" s="488"/>
      <c r="M34" s="59"/>
    </row>
    <row r="35" spans="1:13" s="4" customFormat="1" ht="19.149999999999999" customHeight="1" x14ac:dyDescent="0.2">
      <c r="A35" s="59"/>
      <c r="B35" s="3" t="s">
        <v>4</v>
      </c>
      <c r="C35" s="506" t="s">
        <v>46</v>
      </c>
      <c r="D35" s="507"/>
      <c r="E35" s="507"/>
      <c r="F35" s="507"/>
      <c r="G35" s="507"/>
      <c r="H35" s="507"/>
      <c r="I35" s="507"/>
      <c r="J35" s="508"/>
      <c r="K35" s="350"/>
      <c r="L35" s="488"/>
      <c r="M35" s="59"/>
    </row>
    <row r="36" spans="1:13" s="4" customFormat="1" ht="24" customHeight="1" x14ac:dyDescent="0.2">
      <c r="A36" s="59"/>
      <c r="B36" s="479" t="s">
        <v>524</v>
      </c>
      <c r="C36" s="480"/>
      <c r="D36" s="480"/>
      <c r="E36" s="480"/>
      <c r="F36" s="480"/>
      <c r="G36" s="480"/>
      <c r="H36" s="480"/>
      <c r="I36" s="480"/>
      <c r="J36" s="481"/>
      <c r="K36" s="474" t="str">
        <f>IF(K32&amp;K33&amp;K34&amp;K35="","",N(K32)+N(K33)+N(K34)+N(K35))</f>
        <v/>
      </c>
      <c r="L36" s="475"/>
      <c r="M36" s="59"/>
    </row>
    <row r="37" spans="1:13" s="4" customFormat="1" ht="6" customHeight="1" x14ac:dyDescent="0.2">
      <c r="A37" s="59"/>
      <c r="M37" s="59"/>
    </row>
    <row r="38" spans="1:13" s="34" customFormat="1" ht="24" customHeight="1" x14ac:dyDescent="0.2">
      <c r="A38" s="59"/>
      <c r="B38" s="447" t="s">
        <v>529</v>
      </c>
      <c r="C38" s="448"/>
      <c r="D38" s="448"/>
      <c r="E38" s="448"/>
      <c r="F38" s="448"/>
      <c r="G38" s="448"/>
      <c r="H38" s="448"/>
      <c r="I38" s="448"/>
      <c r="J38" s="448"/>
      <c r="K38" s="448"/>
      <c r="L38" s="449"/>
      <c r="M38" s="59"/>
    </row>
    <row r="39" spans="1:13" s="4" customFormat="1" ht="10.15" customHeight="1" x14ac:dyDescent="0.2">
      <c r="A39" s="59"/>
      <c r="B39" s="310" t="s">
        <v>0</v>
      </c>
      <c r="C39" s="437" t="s">
        <v>47</v>
      </c>
      <c r="D39" s="438"/>
      <c r="E39" s="437" t="s">
        <v>48</v>
      </c>
      <c r="F39" s="438"/>
      <c r="G39" s="437" t="s">
        <v>51</v>
      </c>
      <c r="H39" s="438"/>
      <c r="I39" s="437" t="s">
        <v>54</v>
      </c>
      <c r="J39" s="419"/>
      <c r="K39" s="419" t="s">
        <v>56</v>
      </c>
      <c r="L39" s="468"/>
      <c r="M39" s="59"/>
    </row>
    <row r="40" spans="1:13" s="4" customFormat="1" ht="10.15" customHeight="1" x14ac:dyDescent="0.2">
      <c r="A40" s="59"/>
      <c r="B40" s="304"/>
      <c r="C40" s="439"/>
      <c r="D40" s="440"/>
      <c r="E40" s="439" t="s">
        <v>49</v>
      </c>
      <c r="F40" s="440"/>
      <c r="G40" s="439" t="s">
        <v>52</v>
      </c>
      <c r="H40" s="440"/>
      <c r="I40" s="439" t="s">
        <v>55</v>
      </c>
      <c r="J40" s="472"/>
      <c r="K40" s="472"/>
      <c r="L40" s="469"/>
      <c r="M40" s="59"/>
    </row>
    <row r="41" spans="1:13" s="4" customFormat="1" ht="10.15" customHeight="1" x14ac:dyDescent="0.2">
      <c r="A41" s="59"/>
      <c r="B41" s="305"/>
      <c r="C41" s="439"/>
      <c r="D41" s="440"/>
      <c r="E41" s="439" t="s">
        <v>50</v>
      </c>
      <c r="F41" s="440"/>
      <c r="G41" s="457" t="s">
        <v>53</v>
      </c>
      <c r="H41" s="509"/>
      <c r="I41" s="457" t="s">
        <v>527</v>
      </c>
      <c r="J41" s="458"/>
      <c r="K41" s="458"/>
      <c r="L41" s="470"/>
      <c r="M41" s="59"/>
    </row>
    <row r="42" spans="1:13" s="65" customFormat="1" ht="13.15" customHeight="1" x14ac:dyDescent="0.2">
      <c r="A42" s="59"/>
      <c r="B42" s="2">
        <v>1</v>
      </c>
      <c r="C42" s="266">
        <v>2</v>
      </c>
      <c r="D42" s="268"/>
      <c r="E42" s="266">
        <v>3</v>
      </c>
      <c r="F42" s="268"/>
      <c r="G42" s="262">
        <v>4</v>
      </c>
      <c r="H42" s="361"/>
      <c r="I42" s="262">
        <v>5</v>
      </c>
      <c r="J42" s="361"/>
      <c r="K42" s="306" t="s">
        <v>57</v>
      </c>
      <c r="L42" s="471"/>
      <c r="M42" s="59"/>
    </row>
    <row r="43" spans="1:13" s="4" customFormat="1" ht="19.149999999999999" customHeight="1" x14ac:dyDescent="0.2">
      <c r="A43" s="59"/>
      <c r="B43" s="3" t="s">
        <v>1</v>
      </c>
      <c r="C43" s="504"/>
      <c r="D43" s="505"/>
      <c r="E43" s="350"/>
      <c r="F43" s="378"/>
      <c r="G43" s="350"/>
      <c r="H43" s="378"/>
      <c r="I43" s="350"/>
      <c r="J43" s="378"/>
      <c r="K43" s="459" t="str">
        <f t="shared" ref="K43:K48" si="0">IF(C43="","",IF(N(G43)&lt;&gt;0,N(E43)-N(G43),N(E43)+N(I43)))</f>
        <v/>
      </c>
      <c r="L43" s="460"/>
      <c r="M43" s="59"/>
    </row>
    <row r="44" spans="1:13" s="4" customFormat="1" ht="19.149999999999999" customHeight="1" x14ac:dyDescent="0.2">
      <c r="A44" s="59"/>
      <c r="B44" s="3" t="s">
        <v>2</v>
      </c>
      <c r="C44" s="455" t="str">
        <f>IF(C43="","",IF(C43&lt;ZaGodinu,C43+1,""))</f>
        <v/>
      </c>
      <c r="D44" s="456" t="str">
        <f>IF(H43="","",IF(H43=0,"",IF(C44="","",H43)))</f>
        <v/>
      </c>
      <c r="E44" s="430" t="str">
        <f>IF(K43="","",IF(K43=0,"",IF(C44="","",K43)))</f>
        <v/>
      </c>
      <c r="F44" s="430"/>
      <c r="G44" s="350"/>
      <c r="H44" s="378" t="str">
        <f>IF(C44="","",IF(F44&lt;&gt;"",IF(D44="",0,D44)-IF(F44="",0,F44),IF(D44="",0,D44)+IF(G44="",0,G44)))</f>
        <v/>
      </c>
      <c r="I44" s="350"/>
      <c r="J44" s="378"/>
      <c r="K44" s="459" t="str">
        <f t="shared" si="0"/>
        <v/>
      </c>
      <c r="L44" s="460"/>
      <c r="M44" s="59"/>
    </row>
    <row r="45" spans="1:13" s="4" customFormat="1" ht="19.149999999999999" customHeight="1" x14ac:dyDescent="0.2">
      <c r="A45" s="59"/>
      <c r="B45" s="3" t="s">
        <v>3</v>
      </c>
      <c r="C45" s="455" t="str">
        <f>IF(C44="","",IF(C44&lt;ZaGodinu,C44+1,""))</f>
        <v/>
      </c>
      <c r="D45" s="456" t="str">
        <f>IF(H44="","",IF(H44=0,"",IF(C45="","",H44)))</f>
        <v/>
      </c>
      <c r="E45" s="430" t="str">
        <f>IF(K44="","",IF(K44=0,"",IF(C45="","",K44)))</f>
        <v/>
      </c>
      <c r="F45" s="430"/>
      <c r="G45" s="350"/>
      <c r="H45" s="378"/>
      <c r="I45" s="350" t="str">
        <f>IF(C45&lt;&gt;ZaGodinu,"",Gubitak_4_3_1)</f>
        <v/>
      </c>
      <c r="J45" s="378"/>
      <c r="K45" s="459" t="str">
        <f t="shared" si="0"/>
        <v/>
      </c>
      <c r="L45" s="460"/>
      <c r="M45" s="59"/>
    </row>
    <row r="46" spans="1:13" s="4" customFormat="1" ht="19.149999999999999" customHeight="1" x14ac:dyDescent="0.2">
      <c r="A46" s="59"/>
      <c r="B46" s="3" t="s">
        <v>4</v>
      </c>
      <c r="C46" s="455" t="str">
        <f>IF(C45="","",IF(C45&lt;ZaGodinu,C45+1,""))</f>
        <v/>
      </c>
      <c r="D46" s="456" t="str">
        <f>IF(H45="","",IF(H45=0,"",IF(C46="","",H45)))</f>
        <v/>
      </c>
      <c r="E46" s="430" t="str">
        <f>IF(K45="","",IF(K45=0,"",IF(C46="","",K45)))</f>
        <v/>
      </c>
      <c r="F46" s="430"/>
      <c r="G46" s="350"/>
      <c r="H46" s="378"/>
      <c r="I46" s="350" t="str">
        <f>IF(C46&lt;&gt;ZaGodinu,"",Gubitak_4_3_1)</f>
        <v/>
      </c>
      <c r="J46" s="378"/>
      <c r="K46" s="459" t="str">
        <f t="shared" si="0"/>
        <v/>
      </c>
      <c r="L46" s="460"/>
      <c r="M46" s="59"/>
    </row>
    <row r="47" spans="1:13" s="4" customFormat="1" ht="19.149999999999999" customHeight="1" x14ac:dyDescent="0.2">
      <c r="A47" s="59"/>
      <c r="B47" s="3" t="s">
        <v>5</v>
      </c>
      <c r="C47" s="455" t="str">
        <f>IF(C46="","",IF(C46&lt;ZaGodinu,C46+1,""))</f>
        <v/>
      </c>
      <c r="D47" s="456" t="str">
        <f>IF(H46="","",IF(H46=0,"",IF(C47="","",H46)))</f>
        <v/>
      </c>
      <c r="E47" s="430" t="str">
        <f>IF(K46="","",IF(K46=0,"",IF(C47="","",K46)))</f>
        <v/>
      </c>
      <c r="F47" s="430"/>
      <c r="G47" s="350"/>
      <c r="H47" s="378"/>
      <c r="I47" s="350" t="str">
        <f>IF(C47&lt;&gt;ZaGodinu,"",Gubitak_4_3_1)</f>
        <v/>
      </c>
      <c r="J47" s="378"/>
      <c r="K47" s="459" t="str">
        <f t="shared" si="0"/>
        <v/>
      </c>
      <c r="L47" s="460"/>
      <c r="M47" s="59"/>
    </row>
    <row r="48" spans="1:13" s="4" customFormat="1" ht="19.149999999999999" customHeight="1" x14ac:dyDescent="0.2">
      <c r="A48" s="59"/>
      <c r="B48" s="32" t="s">
        <v>6</v>
      </c>
      <c r="C48" s="512" t="str">
        <f>IF(C47="","",IF(C47&lt;ZaGodinu,C47+1,""))</f>
        <v/>
      </c>
      <c r="D48" s="513" t="str">
        <f>IF(H47="","",IF(H47=0,"",IF(C48="","",H47)))</f>
        <v/>
      </c>
      <c r="E48" s="473" t="str">
        <f>IF(K47="","",IF(K47=0,"",IF(C48="","",K47)))</f>
        <v/>
      </c>
      <c r="F48" s="473"/>
      <c r="G48" s="428"/>
      <c r="H48" s="466"/>
      <c r="I48" s="428" t="str">
        <f>IF(C48&lt;&gt;ZaGodinu,"",Gubitak_4_3_1)</f>
        <v/>
      </c>
      <c r="J48" s="466"/>
      <c r="K48" s="510" t="str">
        <f t="shared" si="0"/>
        <v/>
      </c>
      <c r="L48" s="511"/>
      <c r="M48" s="59"/>
    </row>
    <row r="49" spans="1:16" s="4" customFormat="1" ht="6" customHeight="1" x14ac:dyDescent="0.2">
      <c r="A49" s="59"/>
      <c r="C49" s="30"/>
      <c r="M49" s="59"/>
    </row>
    <row r="50" spans="1:16" s="34" customFormat="1" ht="30" customHeight="1" x14ac:dyDescent="0.2">
      <c r="A50" s="59"/>
      <c r="B50" s="447" t="s">
        <v>533</v>
      </c>
      <c r="C50" s="448"/>
      <c r="D50" s="448"/>
      <c r="E50" s="448"/>
      <c r="F50" s="448"/>
      <c r="G50" s="448"/>
      <c r="H50" s="448"/>
      <c r="I50" s="448"/>
      <c r="J50" s="448"/>
      <c r="K50" s="448"/>
      <c r="L50" s="449"/>
      <c r="M50" s="59"/>
    </row>
    <row r="51" spans="1:16" s="4" customFormat="1" ht="10.15" customHeight="1" x14ac:dyDescent="0.2">
      <c r="A51" s="59"/>
      <c r="B51" s="310" t="s">
        <v>0</v>
      </c>
      <c r="C51" s="293" t="s">
        <v>435</v>
      </c>
      <c r="D51" s="294"/>
      <c r="E51" s="294"/>
      <c r="F51" s="294"/>
      <c r="G51" s="295"/>
      <c r="H51" s="437" t="s">
        <v>26</v>
      </c>
      <c r="I51" s="419"/>
      <c r="J51" s="438"/>
      <c r="K51" s="467" t="s">
        <v>525</v>
      </c>
      <c r="L51" s="468"/>
      <c r="M51" s="59"/>
    </row>
    <row r="52" spans="1:16" s="4" customFormat="1" ht="10.15" customHeight="1" x14ac:dyDescent="0.2">
      <c r="A52" s="59"/>
      <c r="B52" s="304"/>
      <c r="C52" s="242"/>
      <c r="D52" s="243"/>
      <c r="E52" s="243"/>
      <c r="F52" s="243"/>
      <c r="G52" s="265"/>
      <c r="H52" s="439"/>
      <c r="I52" s="472"/>
      <c r="J52" s="440"/>
      <c r="K52" s="439"/>
      <c r="L52" s="469"/>
      <c r="M52" s="59"/>
    </row>
    <row r="53" spans="1:16" s="4" customFormat="1" ht="10.15" customHeight="1" x14ac:dyDescent="0.2">
      <c r="A53" s="59"/>
      <c r="B53" s="305"/>
      <c r="C53" s="266"/>
      <c r="D53" s="267"/>
      <c r="E53" s="267"/>
      <c r="F53" s="267"/>
      <c r="G53" s="268"/>
      <c r="H53" s="457"/>
      <c r="I53" s="458"/>
      <c r="J53" s="509"/>
      <c r="K53" s="457"/>
      <c r="L53" s="470"/>
      <c r="M53" s="59"/>
    </row>
    <row r="54" spans="1:16" s="65" customFormat="1" ht="13.15" customHeight="1" x14ac:dyDescent="0.2">
      <c r="A54" s="59"/>
      <c r="B54" s="2">
        <v>1</v>
      </c>
      <c r="C54" s="515">
        <v>2</v>
      </c>
      <c r="D54" s="515"/>
      <c r="E54" s="515"/>
      <c r="F54" s="515"/>
      <c r="G54" s="515"/>
      <c r="H54" s="515">
        <v>3</v>
      </c>
      <c r="I54" s="515"/>
      <c r="J54" s="515"/>
      <c r="K54" s="306">
        <v>4</v>
      </c>
      <c r="L54" s="471"/>
      <c r="M54" s="59"/>
    </row>
    <row r="55" spans="1:16" s="4" customFormat="1" ht="19.149999999999999" customHeight="1" x14ac:dyDescent="0.2">
      <c r="A55" s="59"/>
      <c r="B55" s="3" t="s">
        <v>1</v>
      </c>
      <c r="C55" s="516" t="s">
        <v>526</v>
      </c>
      <c r="D55" s="516"/>
      <c r="E55" s="516"/>
      <c r="F55" s="516"/>
      <c r="G55" s="516"/>
      <c r="H55" s="350"/>
      <c r="I55" s="378"/>
      <c r="J55" s="378"/>
      <c r="K55" s="435" t="str">
        <f>IF(Dohodak_4_3_7_1="","",IF(N(Dohodak_5)=0,0,N(Dohodak_4_3_7_1)/N(Dohodak_5)))</f>
        <v/>
      </c>
      <c r="L55" s="436"/>
      <c r="M55" s="59"/>
    </row>
    <row r="56" spans="1:16" s="4" customFormat="1" ht="19.149999999999999" customHeight="1" x14ac:dyDescent="0.2">
      <c r="A56" s="59"/>
      <c r="B56" s="32" t="s">
        <v>2</v>
      </c>
      <c r="C56" s="514" t="s">
        <v>578</v>
      </c>
      <c r="D56" s="514"/>
      <c r="E56" s="514"/>
      <c r="F56" s="514"/>
      <c r="G56" s="514"/>
      <c r="H56" s="428"/>
      <c r="I56" s="466"/>
      <c r="J56" s="466"/>
      <c r="K56" s="461" t="str">
        <f>IF(Dohodak_4_3_7_2="","",IF(N(Dohodak_5)=0,0,N(Dohodak_4_3_7_2)/N(Dohodak_5)))</f>
        <v/>
      </c>
      <c r="L56" s="462"/>
      <c r="M56" s="59"/>
    </row>
    <row r="57" spans="1:16" ht="6" customHeight="1" x14ac:dyDescent="0.2"/>
    <row r="58" spans="1:16" s="24" customFormat="1" ht="10.5" customHeight="1" x14ac:dyDescent="0.25">
      <c r="B58" s="406" t="s">
        <v>534</v>
      </c>
      <c r="C58" s="406"/>
      <c r="D58" s="406"/>
      <c r="E58" s="406"/>
      <c r="F58" s="406"/>
      <c r="G58" s="406"/>
      <c r="H58" s="406"/>
      <c r="I58" s="132"/>
      <c r="J58" s="132"/>
      <c r="K58" s="132"/>
      <c r="L58" s="132"/>
      <c r="M58" s="132"/>
      <c r="N58" s="132"/>
      <c r="O58" s="132"/>
      <c r="P58" s="132"/>
    </row>
    <row r="59" spans="1:16" s="4" customFormat="1" ht="24" customHeight="1" x14ac:dyDescent="0.25">
      <c r="A59" s="5"/>
      <c r="B59" s="472"/>
      <c r="C59" s="472"/>
      <c r="D59" s="472"/>
      <c r="E59" s="472"/>
      <c r="F59" s="472"/>
      <c r="G59" s="472"/>
      <c r="H59" s="472"/>
      <c r="I59" s="472"/>
      <c r="J59" s="472"/>
      <c r="K59" s="472"/>
      <c r="L59" s="472"/>
    </row>
    <row r="60" spans="1:16" s="4" customFormat="1" ht="12.75" x14ac:dyDescent="0.25">
      <c r="A60" s="5"/>
    </row>
    <row r="61" spans="1:16" s="4" customFormat="1" ht="12.75" x14ac:dyDescent="0.25">
      <c r="A61" s="5"/>
    </row>
    <row r="62" spans="1:16" s="4" customFormat="1" ht="12.75" x14ac:dyDescent="0.25">
      <c r="A62" s="5"/>
    </row>
    <row r="63" spans="1:16" s="4" customFormat="1" ht="12.75" x14ac:dyDescent="0.25">
      <c r="A63" s="5"/>
    </row>
    <row r="64" spans="1:16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4" customFormat="1" ht="12.75" x14ac:dyDescent="0.25">
      <c r="A95" s="5"/>
    </row>
    <row r="96" spans="1:1" s="4" customFormat="1" ht="12.75" x14ac:dyDescent="0.25">
      <c r="A96" s="5"/>
    </row>
    <row r="97" spans="1:1" s="4" customFormat="1" ht="12.75" x14ac:dyDescent="0.25">
      <c r="A97" s="5"/>
    </row>
    <row r="98" spans="1:1" s="4" customFormat="1" ht="12.75" x14ac:dyDescent="0.25">
      <c r="A98" s="5"/>
    </row>
    <row r="99" spans="1:1" s="4" customFormat="1" ht="12.75" x14ac:dyDescent="0.25">
      <c r="A99" s="5"/>
    </row>
    <row r="100" spans="1:1" s="4" customFormat="1" ht="12.75" x14ac:dyDescent="0.25">
      <c r="A100" s="5"/>
    </row>
    <row r="101" spans="1:1" s="4" customFormat="1" ht="12.75" x14ac:dyDescent="0.25">
      <c r="A101" s="5"/>
    </row>
    <row r="102" spans="1:1" s="4" customFormat="1" ht="12.75" x14ac:dyDescent="0.25">
      <c r="A102" s="5"/>
    </row>
    <row r="103" spans="1:1" s="4" customFormat="1" ht="12.75" x14ac:dyDescent="0.25">
      <c r="A103" s="5"/>
    </row>
    <row r="104" spans="1:1" s="4" customFormat="1" ht="12.75" x14ac:dyDescent="0.25">
      <c r="A104" s="5"/>
    </row>
    <row r="105" spans="1:1" s="4" customFormat="1" ht="12.75" x14ac:dyDescent="0.25">
      <c r="A105" s="5"/>
    </row>
    <row r="106" spans="1:1" s="4" customFormat="1" ht="12.75" x14ac:dyDescent="0.25">
      <c r="A106" s="5"/>
    </row>
    <row r="107" spans="1:1" s="4" customFormat="1" ht="12.75" x14ac:dyDescent="0.25">
      <c r="A107" s="5"/>
    </row>
    <row r="108" spans="1:1" s="4" customFormat="1" ht="12.75" x14ac:dyDescent="0.25">
      <c r="A108" s="5"/>
    </row>
    <row r="109" spans="1:1" s="4" customFormat="1" ht="12.75" x14ac:dyDescent="0.25">
      <c r="A109" s="5"/>
    </row>
    <row r="110" spans="1:1" s="4" customFormat="1" ht="12.75" x14ac:dyDescent="0.25">
      <c r="A110" s="5"/>
    </row>
    <row r="111" spans="1:1" s="4" customFormat="1" ht="12.75" x14ac:dyDescent="0.25">
      <c r="A111" s="5"/>
    </row>
    <row r="112" spans="1:1" s="4" customFormat="1" ht="12.75" x14ac:dyDescent="0.25">
      <c r="A112" s="5"/>
    </row>
    <row r="113" spans="1:1" s="4" customFormat="1" ht="12.75" x14ac:dyDescent="0.25">
      <c r="A113" s="5"/>
    </row>
    <row r="114" spans="1:1" s="4" customFormat="1" ht="12.75" x14ac:dyDescent="0.25">
      <c r="A114" s="5"/>
    </row>
    <row r="115" spans="1:1" s="4" customFormat="1" ht="12.75" x14ac:dyDescent="0.25">
      <c r="A115" s="5"/>
    </row>
    <row r="116" spans="1:1" s="4" customFormat="1" ht="12.75" x14ac:dyDescent="0.25">
      <c r="A116" s="5"/>
    </row>
    <row r="117" spans="1:1" s="4" customFormat="1" ht="12.75" x14ac:dyDescent="0.25">
      <c r="A117" s="5"/>
    </row>
    <row r="118" spans="1:1" s="4" customFormat="1" ht="12.75" x14ac:dyDescent="0.25">
      <c r="A118" s="5"/>
    </row>
    <row r="119" spans="1:1" s="4" customFormat="1" ht="12.75" x14ac:dyDescent="0.25">
      <c r="A119" s="5"/>
    </row>
    <row r="120" spans="1:1" s="4" customFormat="1" ht="12.75" x14ac:dyDescent="0.25">
      <c r="A120" s="5"/>
    </row>
    <row r="121" spans="1:1" s="4" customFormat="1" ht="12.75" x14ac:dyDescent="0.25">
      <c r="A121" s="5"/>
    </row>
    <row r="122" spans="1:1" s="4" customFormat="1" ht="12.75" x14ac:dyDescent="0.25">
      <c r="A122" s="5"/>
    </row>
    <row r="123" spans="1:1" s="4" customFormat="1" ht="12.75" x14ac:dyDescent="0.25">
      <c r="A123" s="5"/>
    </row>
    <row r="124" spans="1:1" s="4" customFormat="1" ht="12.75" x14ac:dyDescent="0.25">
      <c r="A124" s="5"/>
    </row>
    <row r="125" spans="1:1" s="4" customFormat="1" ht="12.75" x14ac:dyDescent="0.25">
      <c r="A125" s="5"/>
    </row>
    <row r="126" spans="1:1" s="4" customFormat="1" ht="12.75" x14ac:dyDescent="0.25">
      <c r="A126" s="5"/>
    </row>
    <row r="127" spans="1:1" s="4" customFormat="1" ht="12.75" x14ac:dyDescent="0.25">
      <c r="A127" s="5"/>
    </row>
    <row r="128" spans="1:1" s="4" customFormat="1" ht="12.75" x14ac:dyDescent="0.25">
      <c r="A128" s="5"/>
    </row>
    <row r="129" spans="1:1" s="4" customFormat="1" ht="12.75" x14ac:dyDescent="0.25">
      <c r="A129" s="5"/>
    </row>
    <row r="130" spans="1:1" s="4" customFormat="1" ht="12.75" x14ac:dyDescent="0.25">
      <c r="A130" s="5"/>
    </row>
    <row r="131" spans="1:1" s="4" customFormat="1" ht="12.75" x14ac:dyDescent="0.25">
      <c r="A131" s="5"/>
    </row>
    <row r="132" spans="1:1" s="4" customFormat="1" ht="12.75" x14ac:dyDescent="0.25">
      <c r="A132" s="5"/>
    </row>
    <row r="133" spans="1:1" s="4" customFormat="1" ht="12.75" x14ac:dyDescent="0.25">
      <c r="A133" s="5"/>
    </row>
    <row r="134" spans="1:1" s="4" customFormat="1" ht="12.75" x14ac:dyDescent="0.25">
      <c r="A134" s="5"/>
    </row>
    <row r="135" spans="1:1" s="4" customFormat="1" ht="12.75" x14ac:dyDescent="0.25">
      <c r="A135" s="5"/>
    </row>
    <row r="136" spans="1:1" s="4" customFormat="1" ht="12.75" x14ac:dyDescent="0.25">
      <c r="A136" s="5"/>
    </row>
    <row r="137" spans="1:1" s="4" customFormat="1" ht="12.75" x14ac:dyDescent="0.25">
      <c r="A137" s="5"/>
    </row>
    <row r="138" spans="1:1" s="4" customFormat="1" ht="12.75" x14ac:dyDescent="0.25">
      <c r="A138" s="5"/>
    </row>
    <row r="139" spans="1:1" s="4" customFormat="1" ht="12.75" x14ac:dyDescent="0.25">
      <c r="A139" s="5"/>
    </row>
    <row r="140" spans="1:1" s="4" customFormat="1" ht="12.75" x14ac:dyDescent="0.25">
      <c r="A140" s="5"/>
    </row>
    <row r="141" spans="1:1" s="4" customFormat="1" ht="12.75" x14ac:dyDescent="0.25">
      <c r="A141" s="5"/>
    </row>
    <row r="142" spans="1:1" s="4" customFormat="1" ht="12.75" x14ac:dyDescent="0.25">
      <c r="A142" s="5"/>
    </row>
    <row r="143" spans="1:1" s="4" customFormat="1" ht="12.75" x14ac:dyDescent="0.25">
      <c r="A143" s="5"/>
    </row>
    <row r="144" spans="1:1" s="4" customFormat="1" ht="12.75" x14ac:dyDescent="0.25">
      <c r="A144" s="5"/>
    </row>
    <row r="145" spans="1:1" s="4" customFormat="1" ht="12.75" x14ac:dyDescent="0.25">
      <c r="A145" s="5"/>
    </row>
    <row r="146" spans="1:1" s="4" customFormat="1" ht="12.75" x14ac:dyDescent="0.25">
      <c r="A146" s="5"/>
    </row>
    <row r="147" spans="1:1" s="4" customFormat="1" ht="12.75" x14ac:dyDescent="0.25">
      <c r="A147" s="5"/>
    </row>
    <row r="148" spans="1:1" s="4" customFormat="1" ht="12.75" x14ac:dyDescent="0.25">
      <c r="A148" s="5"/>
    </row>
    <row r="149" spans="1:1" s="4" customFormat="1" ht="12.75" x14ac:dyDescent="0.25">
      <c r="A149" s="5"/>
    </row>
    <row r="150" spans="1:1" s="34" customFormat="1" x14ac:dyDescent="0.25">
      <c r="A150" s="5"/>
    </row>
  </sheetData>
  <sheetProtection algorithmName="SHA-512" hashValue="zyg8vJfh9YfD6GP7Or1auepUwcjeROWdBabWoRmnPhBgDoyx/ayqtePMGh0ryxKjTjQcLOQPSdnTgD7bAg/xJA==" saltValue="t9hInpiOKt6cknAELymBTw==" spinCount="100000" sheet="1" objects="1" scenarios="1"/>
  <protectedRanges>
    <protectedRange sqref="F13:G13 D14:G15 H55:J56 K13:L15 H32:L35 K18:L20 C43:E43 C13:C15 C18:G20 F43:G48" name="Raspon1"/>
  </protectedRanges>
  <mergeCells count="122">
    <mergeCell ref="B51:B53"/>
    <mergeCell ref="C51:G53"/>
    <mergeCell ref="H51:J53"/>
    <mergeCell ref="I48:J48"/>
    <mergeCell ref="G45:H45"/>
    <mergeCell ref="C56:G56"/>
    <mergeCell ref="H55:J55"/>
    <mergeCell ref="H56:J56"/>
    <mergeCell ref="G47:H47"/>
    <mergeCell ref="G48:H48"/>
    <mergeCell ref="C45:D45"/>
    <mergeCell ref="C54:G54"/>
    <mergeCell ref="H54:J54"/>
    <mergeCell ref="C55:G55"/>
    <mergeCell ref="C47:D47"/>
    <mergeCell ref="K46:L46"/>
    <mergeCell ref="G46:H46"/>
    <mergeCell ref="C46:D46"/>
    <mergeCell ref="E45:F45"/>
    <mergeCell ref="E46:F46"/>
    <mergeCell ref="K47:L47"/>
    <mergeCell ref="K48:L48"/>
    <mergeCell ref="I45:J45"/>
    <mergeCell ref="I46:J46"/>
    <mergeCell ref="I47:J47"/>
    <mergeCell ref="C48:D48"/>
    <mergeCell ref="B58:H58"/>
    <mergeCell ref="B1:L1"/>
    <mergeCell ref="B59:L59"/>
    <mergeCell ref="K32:L32"/>
    <mergeCell ref="K33:L33"/>
    <mergeCell ref="K34:L34"/>
    <mergeCell ref="C30:J30"/>
    <mergeCell ref="C8:C11"/>
    <mergeCell ref="F8:G8"/>
    <mergeCell ref="G9:G11"/>
    <mergeCell ref="B21:G21"/>
    <mergeCell ref="B8:B11"/>
    <mergeCell ref="K43:L43"/>
    <mergeCell ref="I43:J43"/>
    <mergeCell ref="G43:H43"/>
    <mergeCell ref="C43:D43"/>
    <mergeCell ref="E43:F43"/>
    <mergeCell ref="C35:J35"/>
    <mergeCell ref="B39:B41"/>
    <mergeCell ref="G41:H41"/>
    <mergeCell ref="E42:F42"/>
    <mergeCell ref="K44:L44"/>
    <mergeCell ref="I44:J44"/>
    <mergeCell ref="G44:H44"/>
    <mergeCell ref="B6:L6"/>
    <mergeCell ref="B16:L16"/>
    <mergeCell ref="H8:I11"/>
    <mergeCell ref="H12:I12"/>
    <mergeCell ref="H13:I13"/>
    <mergeCell ref="K27:L27"/>
    <mergeCell ref="B36:J36"/>
    <mergeCell ref="H14:I14"/>
    <mergeCell ref="B3:L3"/>
    <mergeCell ref="B7:L7"/>
    <mergeCell ref="F4:G4"/>
    <mergeCell ref="H4:L4"/>
    <mergeCell ref="K35:L35"/>
    <mergeCell ref="B4:E4"/>
    <mergeCell ref="B27:J27"/>
    <mergeCell ref="H15:I15"/>
    <mergeCell ref="J8:J11"/>
    <mergeCell ref="D8:E8"/>
    <mergeCell ref="D9:E9"/>
    <mergeCell ref="C31:J31"/>
    <mergeCell ref="C32:J32"/>
    <mergeCell ref="D10:E10"/>
    <mergeCell ref="D11:E11"/>
    <mergeCell ref="C17:G17"/>
    <mergeCell ref="K56:L56"/>
    <mergeCell ref="K8:L9"/>
    <mergeCell ref="K10:K11"/>
    <mergeCell ref="L10:L11"/>
    <mergeCell ref="D12:E12"/>
    <mergeCell ref="D13:E13"/>
    <mergeCell ref="D14:E14"/>
    <mergeCell ref="D15:E15"/>
    <mergeCell ref="K51:L53"/>
    <mergeCell ref="K54:L54"/>
    <mergeCell ref="B38:L38"/>
    <mergeCell ref="B50:L50"/>
    <mergeCell ref="K39:L41"/>
    <mergeCell ref="K42:L42"/>
    <mergeCell ref="I42:J42"/>
    <mergeCell ref="E48:F48"/>
    <mergeCell ref="I40:J40"/>
    <mergeCell ref="I39:J39"/>
    <mergeCell ref="G42:H42"/>
    <mergeCell ref="E41:F41"/>
    <mergeCell ref="K36:L36"/>
    <mergeCell ref="C34:J34"/>
    <mergeCell ref="E47:F47"/>
    <mergeCell ref="G39:H39"/>
    <mergeCell ref="E44:F44"/>
    <mergeCell ref="H17:I17"/>
    <mergeCell ref="K30:L30"/>
    <mergeCell ref="K31:L31"/>
    <mergeCell ref="K55:L55"/>
    <mergeCell ref="C39:D41"/>
    <mergeCell ref="C42:D42"/>
    <mergeCell ref="E39:F39"/>
    <mergeCell ref="E40:F40"/>
    <mergeCell ref="G40:H40"/>
    <mergeCell ref="C19:G19"/>
    <mergeCell ref="C33:J33"/>
    <mergeCell ref="B29:L29"/>
    <mergeCell ref="H18:I18"/>
    <mergeCell ref="H19:I19"/>
    <mergeCell ref="H20:I20"/>
    <mergeCell ref="H21:I21"/>
    <mergeCell ref="B23:I23"/>
    <mergeCell ref="B25:I25"/>
    <mergeCell ref="C20:G20"/>
    <mergeCell ref="C18:G18"/>
    <mergeCell ref="C44:D44"/>
    <mergeCell ref="I41:J41"/>
    <mergeCell ref="K45:L45"/>
  </mergeCells>
  <dataValidations disablePrompts="1" count="1">
    <dataValidation type="list" showInputMessage="1" showErrorMessage="1" sqref="C43" xr:uid="{00000000-0002-0000-0400-000000000000}">
      <formula1>GubitakGodina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84" orientation="portrait" r:id="rId1"/>
  <headerFooter>
    <oddFooter>&amp;L&amp;"Arial,Uobičajeno"&amp;8          DOH 2023&amp;C&amp;"Arial,Uobičajeno"&amp;8RRiF-ov obrazac  ©  rrif.hr&amp;R&amp;"Arial,Uobičajeno"&amp;8Stranica 5          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zoomScaleNormal="100" workbookViewId="0"/>
  </sheetViews>
  <sheetFormatPr defaultColWidth="8.85546875" defaultRowHeight="12.75" x14ac:dyDescent="0.25"/>
  <cols>
    <col min="1" max="2" width="4.5703125" style="5" customWidth="1"/>
    <col min="3" max="3" width="20.140625" style="5" customWidth="1"/>
    <col min="4" max="4" width="4.5703125" style="5" customWidth="1"/>
    <col min="5" max="5" width="20.140625" style="5" customWidth="1"/>
    <col min="6" max="6" width="4.5703125" style="5" customWidth="1"/>
    <col min="7" max="7" width="15.42578125" style="5" customWidth="1"/>
    <col min="8" max="9" width="4.5703125" style="5" customWidth="1"/>
    <col min="10" max="10" width="20.140625" style="5" customWidth="1"/>
    <col min="11" max="16384" width="8.85546875" style="5"/>
  </cols>
  <sheetData>
    <row r="1" spans="1:11" ht="24" customHeight="1" x14ac:dyDescent="0.25"/>
    <row r="2" spans="1:11" s="34" customFormat="1" ht="24" customHeight="1" x14ac:dyDescent="0.2">
      <c r="A2" s="59"/>
      <c r="B2" s="447" t="s">
        <v>535</v>
      </c>
      <c r="C2" s="448"/>
      <c r="D2" s="448"/>
      <c r="E2" s="448"/>
      <c r="F2" s="448"/>
      <c r="G2" s="448"/>
      <c r="H2" s="448"/>
      <c r="I2" s="448"/>
      <c r="J2" s="449"/>
      <c r="K2" s="5"/>
    </row>
    <row r="3" spans="1:11" ht="18" customHeight="1" x14ac:dyDescent="0.25">
      <c r="B3" s="517" t="s">
        <v>536</v>
      </c>
      <c r="C3" s="518"/>
      <c r="D3" s="518"/>
      <c r="E3" s="519"/>
      <c r="F3" s="517" t="s">
        <v>537</v>
      </c>
      <c r="G3" s="518"/>
      <c r="H3" s="518"/>
      <c r="I3" s="518"/>
      <c r="J3" s="519"/>
    </row>
    <row r="4" spans="1:11" ht="19.5" customHeight="1" x14ac:dyDescent="0.25">
      <c r="B4" s="160" t="s">
        <v>442</v>
      </c>
      <c r="C4" s="167"/>
      <c r="D4" s="151" t="s">
        <v>443</v>
      </c>
      <c r="E4" s="170"/>
      <c r="F4" s="160" t="s">
        <v>442</v>
      </c>
      <c r="G4" s="520"/>
      <c r="H4" s="521"/>
      <c r="I4" s="151" t="s">
        <v>443</v>
      </c>
      <c r="J4" s="170"/>
    </row>
    <row r="5" spans="1:11" ht="19.5" customHeight="1" x14ac:dyDescent="0.25">
      <c r="B5" s="3" t="s">
        <v>442</v>
      </c>
      <c r="C5" s="168"/>
      <c r="D5" s="161" t="s">
        <v>443</v>
      </c>
      <c r="E5" s="171"/>
      <c r="F5" s="3" t="s">
        <v>442</v>
      </c>
      <c r="G5" s="522"/>
      <c r="H5" s="523"/>
      <c r="I5" s="161" t="s">
        <v>443</v>
      </c>
      <c r="J5" s="171"/>
    </row>
    <row r="6" spans="1:11" ht="19.5" customHeight="1" x14ac:dyDescent="0.25">
      <c r="B6" s="3" t="s">
        <v>442</v>
      </c>
      <c r="C6" s="168"/>
      <c r="D6" s="161" t="s">
        <v>443</v>
      </c>
      <c r="E6" s="171"/>
      <c r="F6" s="3" t="s">
        <v>442</v>
      </c>
      <c r="G6" s="522"/>
      <c r="H6" s="523"/>
      <c r="I6" s="161" t="s">
        <v>443</v>
      </c>
      <c r="J6" s="171"/>
    </row>
    <row r="7" spans="1:11" ht="19.5" customHeight="1" x14ac:dyDescent="0.25">
      <c r="B7" s="3" t="s">
        <v>442</v>
      </c>
      <c r="C7" s="168"/>
      <c r="D7" s="161" t="s">
        <v>443</v>
      </c>
      <c r="E7" s="171"/>
      <c r="F7" s="3" t="s">
        <v>442</v>
      </c>
      <c r="G7" s="522"/>
      <c r="H7" s="523"/>
      <c r="I7" s="161" t="s">
        <v>443</v>
      </c>
      <c r="J7" s="171"/>
    </row>
    <row r="8" spans="1:11" ht="19.5" customHeight="1" x14ac:dyDescent="0.25">
      <c r="B8" s="32" t="s">
        <v>442</v>
      </c>
      <c r="C8" s="169"/>
      <c r="D8" s="162" t="s">
        <v>443</v>
      </c>
      <c r="E8" s="172"/>
      <c r="F8" s="32" t="s">
        <v>442</v>
      </c>
      <c r="G8" s="524"/>
      <c r="H8" s="525"/>
      <c r="I8" s="162" t="s">
        <v>443</v>
      </c>
      <c r="J8" s="172"/>
    </row>
    <row r="9" spans="1:11" ht="19.5" customHeight="1" x14ac:dyDescent="0.25">
      <c r="B9" s="160" t="s">
        <v>3</v>
      </c>
      <c r="C9" s="532" t="s">
        <v>553</v>
      </c>
      <c r="D9" s="532"/>
      <c r="E9" s="532"/>
      <c r="F9" s="532"/>
      <c r="G9" s="532"/>
      <c r="H9" s="532"/>
      <c r="I9" s="532"/>
      <c r="J9" s="149"/>
    </row>
    <row r="10" spans="1:11" ht="19.5" customHeight="1" x14ac:dyDescent="0.25">
      <c r="B10" s="3" t="s">
        <v>4</v>
      </c>
      <c r="C10" s="533" t="s">
        <v>554</v>
      </c>
      <c r="D10" s="533"/>
      <c r="E10" s="533"/>
      <c r="F10" s="533"/>
      <c r="G10" s="533"/>
      <c r="H10" s="533"/>
      <c r="I10" s="533"/>
      <c r="J10" s="150"/>
    </row>
    <row r="11" spans="1:11" ht="18.75" customHeight="1" x14ac:dyDescent="0.25">
      <c r="B11" s="3" t="s">
        <v>5</v>
      </c>
      <c r="C11" s="533" t="s">
        <v>555</v>
      </c>
      <c r="D11" s="533"/>
      <c r="E11" s="533"/>
      <c r="F11" s="533"/>
      <c r="G11" s="533"/>
      <c r="H11" s="533"/>
      <c r="I11" s="533"/>
      <c r="J11" s="133" t="str">
        <f>IF('Str. 5'!C13&amp;'Str. 5'!C14&amp;'Str. 5'!C15&amp;'Str. 5'!G13&amp;'Str. 5'!G14&amp;'Str. 5'!G15="","",MAX(0,N('Str. 5'!C13)+N('Str. 5'!C14)+N('Str. 5'!C15)+N('Str. 5'!G13)+N('Str. 5'!G14)+N('Str. 5'!G15)))</f>
        <v/>
      </c>
    </row>
    <row r="12" spans="1:11" ht="18.75" customHeight="1" x14ac:dyDescent="0.25">
      <c r="B12" s="3" t="s">
        <v>6</v>
      </c>
      <c r="C12" s="533" t="s">
        <v>556</v>
      </c>
      <c r="D12" s="533"/>
      <c r="E12" s="533"/>
      <c r="F12" s="533"/>
      <c r="G12" s="533"/>
      <c r="H12" s="533"/>
      <c r="I12" s="533"/>
      <c r="J12" s="133" t="str">
        <f>IF(Mjeseci_4_3_8_3&amp;Mjeseci_4_3_8_4&amp;Dohodak_4_3_8_5="","",IF(N(Mjeseci_4_3_8_3)=0,0,N(Mjeseci_4_3_8_4)/Mjeseci_4_3_8_3*N(Dohodak_4_3_8_5)))</f>
        <v/>
      </c>
    </row>
    <row r="13" spans="1:11" ht="18.75" customHeight="1" x14ac:dyDescent="0.25">
      <c r="B13" s="3" t="s">
        <v>7</v>
      </c>
      <c r="C13" s="533" t="s">
        <v>557</v>
      </c>
      <c r="D13" s="533"/>
      <c r="E13" s="533"/>
      <c r="F13" s="533"/>
      <c r="G13" s="533"/>
      <c r="H13" s="533"/>
      <c r="I13" s="533"/>
      <c r="J13" s="133" t="str">
        <f>IF(Mjeseci_4_3_8_4="","",GodOsnovicaZaObvDoprinosa/12*Mjeseci_4_3_8_4)</f>
        <v/>
      </c>
    </row>
    <row r="14" spans="1:11" ht="18.75" customHeight="1" x14ac:dyDescent="0.25">
      <c r="B14" s="3" t="s">
        <v>8</v>
      </c>
      <c r="C14" s="533" t="s">
        <v>558</v>
      </c>
      <c r="D14" s="533"/>
      <c r="E14" s="533"/>
      <c r="F14" s="533"/>
      <c r="G14" s="533"/>
      <c r="H14" s="533"/>
      <c r="I14" s="533"/>
      <c r="J14" s="133" t="str">
        <f>IF(Dohodak_4_3_8_6&amp;Osnovica_4_3_8_7="","",IF(Dohodak_4_3_8_6&lt;=Osnovica_4_3_8_7,Dohodak_4_3_8_6,Osnovica_4_3_8_7))</f>
        <v/>
      </c>
    </row>
    <row r="15" spans="1:11" ht="30" customHeight="1" x14ac:dyDescent="0.25">
      <c r="B15" s="3" t="s">
        <v>444</v>
      </c>
      <c r="C15" s="526" t="s">
        <v>559</v>
      </c>
      <c r="D15" s="527"/>
      <c r="E15" s="527"/>
      <c r="F15" s="527"/>
      <c r="G15" s="527"/>
      <c r="H15" s="528">
        <v>7.4999999999999997E-2</v>
      </c>
      <c r="I15" s="529"/>
      <c r="J15" s="133" t="str">
        <f>IF(Osnovica_4_3_8_8="","",Osnovica_4_3_8_8*Stopa_4_3_8_9)</f>
        <v/>
      </c>
    </row>
    <row r="16" spans="1:11" ht="30" customHeight="1" x14ac:dyDescent="0.25">
      <c r="B16" s="3" t="s">
        <v>445</v>
      </c>
      <c r="C16" s="526" t="s">
        <v>579</v>
      </c>
      <c r="D16" s="527"/>
      <c r="E16" s="527"/>
      <c r="F16" s="527"/>
      <c r="G16" s="527"/>
      <c r="H16" s="528">
        <v>2.5000000000000001E-2</v>
      </c>
      <c r="I16" s="529"/>
      <c r="J16" s="133" t="str">
        <f>IF(Osnovica_4_3_8_8="","",Osnovica_4_3_8_8*Stopa_4_3_8_10)</f>
        <v/>
      </c>
    </row>
    <row r="17" spans="2:10" ht="30" customHeight="1" x14ac:dyDescent="0.25">
      <c r="B17" s="32" t="s">
        <v>446</v>
      </c>
      <c r="C17" s="534" t="s">
        <v>560</v>
      </c>
      <c r="D17" s="535"/>
      <c r="E17" s="535"/>
      <c r="F17" s="535"/>
      <c r="G17" s="535"/>
      <c r="H17" s="536">
        <v>7.4999999999999997E-2</v>
      </c>
      <c r="I17" s="537"/>
      <c r="J17" s="134" t="str">
        <f>IF(Osnovica_4_3_8_8="","",Osnovica_4_3_8_8*Stopa_4_3_8_11)</f>
        <v/>
      </c>
    </row>
    <row r="19" spans="2:10" x14ac:dyDescent="0.25">
      <c r="H19" s="163"/>
      <c r="I19" s="163"/>
    </row>
    <row r="20" spans="2:10" x14ac:dyDescent="0.25">
      <c r="H20" s="163"/>
      <c r="I20" s="163"/>
    </row>
    <row r="21" spans="2:10" x14ac:dyDescent="0.25">
      <c r="H21" s="163"/>
      <c r="I21" s="163"/>
    </row>
    <row r="22" spans="2:10" x14ac:dyDescent="0.25">
      <c r="H22" s="163"/>
      <c r="I22" s="163"/>
    </row>
    <row r="23" spans="2:10" x14ac:dyDescent="0.25">
      <c r="H23" s="163"/>
      <c r="I23" s="163"/>
    </row>
    <row r="24" spans="2:10" x14ac:dyDescent="0.25">
      <c r="H24" s="163"/>
      <c r="I24" s="163"/>
    </row>
    <row r="25" spans="2:10" x14ac:dyDescent="0.25">
      <c r="H25" s="163"/>
      <c r="I25" s="163"/>
    </row>
    <row r="26" spans="2:10" x14ac:dyDescent="0.25">
      <c r="H26" s="163"/>
      <c r="I26" s="163"/>
    </row>
    <row r="27" spans="2:10" x14ac:dyDescent="0.25">
      <c r="H27" s="163"/>
      <c r="I27" s="163"/>
    </row>
    <row r="28" spans="2:10" x14ac:dyDescent="0.25">
      <c r="H28" s="163"/>
      <c r="I28" s="163"/>
    </row>
    <row r="44" spans="1:13" s="69" customFormat="1" ht="37.5" customHeight="1" x14ac:dyDescent="0.25">
      <c r="A44" s="6"/>
      <c r="B44" s="530" t="s">
        <v>538</v>
      </c>
      <c r="C44" s="530"/>
      <c r="D44" s="530"/>
      <c r="E44" s="530"/>
      <c r="F44" s="530"/>
      <c r="G44" s="530"/>
      <c r="H44" s="530"/>
      <c r="I44" s="530"/>
      <c r="J44" s="530"/>
      <c r="K44" s="70"/>
      <c r="L44" s="70"/>
    </row>
    <row r="45" spans="1:13" s="69" customFormat="1" ht="37.5" customHeight="1" x14ac:dyDescent="0.25">
      <c r="A45" s="6"/>
      <c r="B45" s="530" t="s">
        <v>539</v>
      </c>
      <c r="C45" s="530"/>
      <c r="D45" s="530"/>
      <c r="E45" s="530"/>
      <c r="F45" s="530"/>
      <c r="G45" s="530"/>
      <c r="H45" s="530"/>
      <c r="I45" s="530"/>
      <c r="J45" s="530"/>
      <c r="K45" s="70"/>
      <c r="L45" s="70"/>
    </row>
    <row r="46" spans="1:13" s="69" customFormat="1" ht="37.5" customHeight="1" x14ac:dyDescent="0.25">
      <c r="A46" s="6"/>
      <c r="B46" s="530" t="s">
        <v>540</v>
      </c>
      <c r="C46" s="530"/>
      <c r="D46" s="530"/>
      <c r="E46" s="530"/>
      <c r="F46" s="530"/>
      <c r="G46" s="530"/>
      <c r="H46" s="530"/>
      <c r="I46" s="530"/>
      <c r="J46" s="530"/>
      <c r="K46" s="70"/>
      <c r="L46" s="70"/>
    </row>
    <row r="47" spans="1:13" s="4" customFormat="1" ht="24" customHeight="1" x14ac:dyDescent="0.25">
      <c r="A47" s="6"/>
      <c r="B47" s="530" t="s">
        <v>541</v>
      </c>
      <c r="C47" s="531"/>
      <c r="D47" s="531"/>
      <c r="E47" s="531"/>
      <c r="F47" s="531"/>
      <c r="G47" s="531"/>
      <c r="H47" s="531"/>
      <c r="I47" s="531"/>
      <c r="J47" s="531"/>
      <c r="K47" s="70"/>
      <c r="L47" s="71"/>
      <c r="M47" s="69"/>
    </row>
    <row r="48" spans="1:13" s="4" customFormat="1" ht="15" customHeight="1" x14ac:dyDescent="0.25">
      <c r="A48" s="6"/>
      <c r="B48" s="122" t="s">
        <v>542</v>
      </c>
      <c r="C48" s="122"/>
      <c r="D48" s="122"/>
      <c r="E48" s="122"/>
      <c r="F48" s="122"/>
      <c r="G48" s="122"/>
      <c r="H48" s="122"/>
      <c r="I48" s="122"/>
      <c r="J48" s="121"/>
      <c r="K48" s="70"/>
      <c r="L48" s="71"/>
      <c r="M48" s="69"/>
    </row>
  </sheetData>
  <sheetProtection algorithmName="SHA-512" hashValue="DuY3W22mFrCK776qRrzJ5yXc++zkg3TIuTRapnK3Xt7S4oveq4BrNbc9sFKJfoxaFJACbkLdSzyapBt7zzXBkA==" saltValue="cOn6uxfiJEvueEKZs/S7PA==" spinCount="100000" sheet="1" objects="1" scenarios="1"/>
  <mergeCells count="24">
    <mergeCell ref="B46:J46"/>
    <mergeCell ref="B47:J47"/>
    <mergeCell ref="C9:I9"/>
    <mergeCell ref="C10:I10"/>
    <mergeCell ref="B44:J44"/>
    <mergeCell ref="B45:J45"/>
    <mergeCell ref="C11:I11"/>
    <mergeCell ref="C12:I12"/>
    <mergeCell ref="C13:I13"/>
    <mergeCell ref="C14:I14"/>
    <mergeCell ref="C16:G16"/>
    <mergeCell ref="C17:G17"/>
    <mergeCell ref="H16:I16"/>
    <mergeCell ref="H17:I17"/>
    <mergeCell ref="G6:H6"/>
    <mergeCell ref="G7:H7"/>
    <mergeCell ref="G8:H8"/>
    <mergeCell ref="C15:G15"/>
    <mergeCell ref="H15:I15"/>
    <mergeCell ref="B2:J2"/>
    <mergeCell ref="B3:E3"/>
    <mergeCell ref="F3:J3"/>
    <mergeCell ref="G4:H4"/>
    <mergeCell ref="G5:H5"/>
  </mergeCells>
  <dataValidations disablePrompts="1" count="2">
    <dataValidation showInputMessage="1" showErrorMessage="1" error="Stopa može biti ili 15% ili 20%!" sqref="H15:I17" xr:uid="{00000000-0002-0000-0500-000000000000}"/>
    <dataValidation type="list" allowBlank="1" showInputMessage="1" showErrorMessage="1" error="Broj mjeseci mora biti cijeli broj!" sqref="J9:J10" xr:uid="{00000000-0002-0000-05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6         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5"/>
  <sheetViews>
    <sheetView zoomScaleNormal="100" workbookViewId="0"/>
  </sheetViews>
  <sheetFormatPr defaultColWidth="8.85546875" defaultRowHeight="14.25" x14ac:dyDescent="0.2"/>
  <cols>
    <col min="1" max="1" width="4.5703125" style="25" customWidth="1"/>
    <col min="2" max="2" width="2.42578125" style="25" customWidth="1"/>
    <col min="3" max="3" width="6" style="25" customWidth="1"/>
    <col min="4" max="4" width="29.5703125" style="25" customWidth="1"/>
    <col min="5" max="5" width="19.28515625" style="25" customWidth="1"/>
    <col min="6" max="6" width="13.7109375" style="25" customWidth="1"/>
    <col min="7" max="7" width="14" style="25" customWidth="1"/>
    <col min="8" max="8" width="13.85546875" style="25" customWidth="1"/>
    <col min="9" max="9" width="4.42578125" style="25" customWidth="1"/>
    <col min="10" max="16384" width="8.85546875" style="25"/>
  </cols>
  <sheetData>
    <row r="1" spans="1:9" s="4" customFormat="1" ht="24" customHeight="1" x14ac:dyDescent="0.25">
      <c r="A1" s="66"/>
      <c r="B1" s="556"/>
      <c r="C1" s="556"/>
      <c r="D1" s="556"/>
      <c r="E1" s="556"/>
      <c r="F1" s="556"/>
      <c r="G1" s="556"/>
      <c r="H1" s="556"/>
    </row>
    <row r="2" spans="1:9" s="66" customFormat="1" ht="31.15" customHeight="1" x14ac:dyDescent="0.25">
      <c r="B2" s="542" t="s">
        <v>662</v>
      </c>
      <c r="C2" s="543"/>
      <c r="D2" s="543"/>
      <c r="E2" s="543"/>
      <c r="F2" s="550" t="s">
        <v>18</v>
      </c>
      <c r="G2" s="548" t="s">
        <v>107</v>
      </c>
      <c r="H2" s="549"/>
    </row>
    <row r="3" spans="1:9" s="66" customFormat="1" ht="31.15" customHeight="1" x14ac:dyDescent="0.25">
      <c r="B3" s="544"/>
      <c r="C3" s="545"/>
      <c r="D3" s="545"/>
      <c r="E3" s="545"/>
      <c r="F3" s="551"/>
      <c r="G3" s="27" t="s">
        <v>420</v>
      </c>
      <c r="H3" s="27" t="s">
        <v>421</v>
      </c>
    </row>
    <row r="4" spans="1:9" s="4" customFormat="1" ht="27.6" customHeight="1" x14ac:dyDescent="0.25">
      <c r="A4" s="66"/>
      <c r="B4" s="546"/>
      <c r="C4" s="547"/>
      <c r="D4" s="547"/>
      <c r="E4" s="547"/>
      <c r="F4" s="51" t="str">
        <f>IF(Dohodak_4_1_7&amp;Dohodak_4_2_3&amp;Dohodak_4_3_3="","",N(Dohodak_4_1_7)+N(Dohodak_4_2_3)+N(Dohodak_4_3_3))</f>
        <v/>
      </c>
      <c r="G4" s="51" t="str">
        <f>IF(Tuzemni_4_1_7&amp;Tuzemni_4_2_3&amp;Tuzemni_4_3_3="","",N(Tuzemni_4_1_7)+N(Tuzemni_4_2_3)+N(Tuzemni_4_3_3))</f>
        <v/>
      </c>
      <c r="H4" s="51" t="str">
        <f>IF(Inozemni_4_1_7&amp;Inozemni_4_2_3&amp;Inozemni_4_3_3="","",N(Inozemni_4_1_7)+N(Inozemni_4_2_3)+N(Inozemni_4_3_3))</f>
        <v/>
      </c>
      <c r="I4" s="66"/>
    </row>
    <row r="5" spans="1:9" s="4" customFormat="1" ht="6" customHeight="1" x14ac:dyDescent="0.25">
      <c r="A5" s="66"/>
      <c r="I5" s="66"/>
    </row>
    <row r="6" spans="1:9" s="66" customFormat="1" ht="23.45" customHeight="1" x14ac:dyDescent="0.25">
      <c r="B6" s="552" t="s">
        <v>543</v>
      </c>
      <c r="C6" s="553"/>
      <c r="D6" s="553"/>
      <c r="E6" s="553"/>
      <c r="F6" s="553"/>
      <c r="G6" s="553"/>
      <c r="H6" s="554"/>
    </row>
    <row r="7" spans="1:9" s="4" customFormat="1" ht="36" customHeight="1" x14ac:dyDescent="0.25">
      <c r="A7" s="66"/>
      <c r="B7" s="96" t="s">
        <v>0</v>
      </c>
      <c r="C7" s="557" t="s">
        <v>108</v>
      </c>
      <c r="D7" s="557"/>
      <c r="E7" s="557"/>
      <c r="F7" s="557"/>
      <c r="G7" s="557"/>
      <c r="H7" s="152" t="s">
        <v>661</v>
      </c>
      <c r="I7" s="66"/>
    </row>
    <row r="8" spans="1:9" s="65" customFormat="1" ht="10.15" customHeight="1" x14ac:dyDescent="0.25">
      <c r="A8" s="66"/>
      <c r="B8" s="2">
        <v>1</v>
      </c>
      <c r="C8" s="515">
        <v>2</v>
      </c>
      <c r="D8" s="515"/>
      <c r="E8" s="515"/>
      <c r="F8" s="515"/>
      <c r="G8" s="515"/>
      <c r="H8" s="92">
        <v>3</v>
      </c>
      <c r="I8" s="66"/>
    </row>
    <row r="9" spans="1:9" s="4" customFormat="1" ht="30" customHeight="1" x14ac:dyDescent="0.25">
      <c r="A9" s="66"/>
      <c r="B9" s="28" t="s">
        <v>1</v>
      </c>
      <c r="C9" s="541" t="s">
        <v>547</v>
      </c>
      <c r="D9" s="541"/>
      <c r="E9" s="541"/>
      <c r="F9" s="541"/>
      <c r="G9" s="541"/>
      <c r="H9" s="76"/>
      <c r="I9" s="66"/>
    </row>
    <row r="10" spans="1:9" s="4" customFormat="1" ht="30" customHeight="1" x14ac:dyDescent="0.25">
      <c r="A10" s="66"/>
      <c r="B10" s="28" t="s">
        <v>2</v>
      </c>
      <c r="C10" s="541" t="s">
        <v>548</v>
      </c>
      <c r="D10" s="541"/>
      <c r="E10" s="541"/>
      <c r="F10" s="541"/>
      <c r="G10" s="541"/>
      <c r="H10" s="76"/>
      <c r="I10" s="66"/>
    </row>
    <row r="11" spans="1:9" s="4" customFormat="1" ht="30" customHeight="1" x14ac:dyDescent="0.25">
      <c r="A11" s="66"/>
      <c r="B11" s="28" t="s">
        <v>3</v>
      </c>
      <c r="C11" s="541" t="s">
        <v>549</v>
      </c>
      <c r="D11" s="541"/>
      <c r="E11" s="541"/>
      <c r="F11" s="541"/>
      <c r="G11" s="541"/>
      <c r="H11" s="76"/>
      <c r="I11" s="66"/>
    </row>
    <row r="12" spans="1:9" s="4" customFormat="1" ht="30" customHeight="1" x14ac:dyDescent="0.25">
      <c r="A12" s="66"/>
      <c r="B12" s="28" t="s">
        <v>4</v>
      </c>
      <c r="C12" s="541" t="s">
        <v>550</v>
      </c>
      <c r="D12" s="541"/>
      <c r="E12" s="541"/>
      <c r="F12" s="541"/>
      <c r="G12" s="541"/>
      <c r="H12" s="76"/>
      <c r="I12" s="66"/>
    </row>
    <row r="13" spans="1:9" s="4" customFormat="1" ht="30" customHeight="1" x14ac:dyDescent="0.25">
      <c r="A13" s="66"/>
      <c r="B13" s="28" t="s">
        <v>5</v>
      </c>
      <c r="C13" s="541" t="s">
        <v>551</v>
      </c>
      <c r="D13" s="541"/>
      <c r="E13" s="541"/>
      <c r="F13" s="541"/>
      <c r="G13" s="541"/>
      <c r="H13" s="76"/>
      <c r="I13" s="66"/>
    </row>
    <row r="14" spans="1:9" s="4" customFormat="1" ht="30" customHeight="1" x14ac:dyDescent="0.25">
      <c r="A14" s="66"/>
      <c r="B14" s="28" t="s">
        <v>6</v>
      </c>
      <c r="C14" s="541" t="s">
        <v>552</v>
      </c>
      <c r="D14" s="541"/>
      <c r="E14" s="541"/>
      <c r="F14" s="541"/>
      <c r="G14" s="541"/>
      <c r="H14" s="76"/>
      <c r="I14" s="66"/>
    </row>
    <row r="15" spans="1:9" s="4" customFormat="1" ht="30" customHeight="1" x14ac:dyDescent="0.25">
      <c r="A15" s="66"/>
      <c r="B15" s="28" t="s">
        <v>7</v>
      </c>
      <c r="C15" s="541" t="s">
        <v>603</v>
      </c>
      <c r="D15" s="541"/>
      <c r="E15" s="541"/>
      <c r="F15" s="541"/>
      <c r="G15" s="541"/>
      <c r="H15" s="76"/>
      <c r="I15" s="66"/>
    </row>
    <row r="16" spans="1:9" s="4" customFormat="1" ht="30" customHeight="1" x14ac:dyDescent="0.25">
      <c r="A16" s="66"/>
      <c r="B16" s="29" t="s">
        <v>8</v>
      </c>
      <c r="C16" s="555" t="s">
        <v>604</v>
      </c>
      <c r="D16" s="555"/>
      <c r="E16" s="555"/>
      <c r="F16" s="555"/>
      <c r="G16" s="555"/>
      <c r="H16" s="145"/>
      <c r="I16" s="66"/>
    </row>
    <row r="17" spans="1:9" s="4" customFormat="1" ht="6" customHeight="1" x14ac:dyDescent="0.25">
      <c r="A17" s="66"/>
      <c r="I17" s="66"/>
    </row>
    <row r="18" spans="1:9" s="66" customFormat="1" ht="23.45" customHeight="1" x14ac:dyDescent="0.25">
      <c r="B18" s="552" t="s">
        <v>544</v>
      </c>
      <c r="C18" s="553"/>
      <c r="D18" s="553"/>
      <c r="E18" s="553"/>
      <c r="F18" s="553"/>
      <c r="G18" s="553"/>
      <c r="H18" s="554"/>
    </row>
    <row r="19" spans="1:9" s="4" customFormat="1" ht="21" customHeight="1" x14ac:dyDescent="0.25">
      <c r="A19" s="66"/>
      <c r="B19" s="558"/>
      <c r="C19" s="559"/>
      <c r="D19" s="559"/>
      <c r="E19" s="559"/>
      <c r="F19" s="559"/>
      <c r="G19" s="559"/>
      <c r="H19" s="560"/>
      <c r="I19" s="66"/>
    </row>
    <row r="20" spans="1:9" s="4" customFormat="1" ht="21" customHeight="1" x14ac:dyDescent="0.25">
      <c r="A20" s="66"/>
      <c r="B20" s="538"/>
      <c r="C20" s="539"/>
      <c r="D20" s="539"/>
      <c r="E20" s="539"/>
      <c r="F20" s="539"/>
      <c r="G20" s="539"/>
      <c r="H20" s="540"/>
      <c r="I20" s="66"/>
    </row>
    <row r="21" spans="1:9" s="4" customFormat="1" ht="21" customHeight="1" x14ac:dyDescent="0.25">
      <c r="A21" s="66"/>
      <c r="B21" s="538"/>
      <c r="C21" s="539"/>
      <c r="D21" s="539"/>
      <c r="E21" s="539"/>
      <c r="F21" s="539"/>
      <c r="G21" s="539"/>
      <c r="H21" s="540"/>
      <c r="I21" s="66"/>
    </row>
    <row r="22" spans="1:9" s="4" customFormat="1" ht="21" customHeight="1" x14ac:dyDescent="0.25">
      <c r="A22" s="66"/>
      <c r="B22" s="538"/>
      <c r="C22" s="539"/>
      <c r="D22" s="539"/>
      <c r="E22" s="539"/>
      <c r="F22" s="539"/>
      <c r="G22" s="539"/>
      <c r="H22" s="540"/>
      <c r="I22" s="66"/>
    </row>
    <row r="23" spans="1:9" s="4" customFormat="1" ht="21" customHeight="1" x14ac:dyDescent="0.25">
      <c r="A23" s="66"/>
      <c r="B23" s="538"/>
      <c r="C23" s="539"/>
      <c r="D23" s="539"/>
      <c r="E23" s="539"/>
      <c r="F23" s="539"/>
      <c r="G23" s="539"/>
      <c r="H23" s="540"/>
      <c r="I23" s="66"/>
    </row>
    <row r="24" spans="1:9" s="4" customFormat="1" ht="21" customHeight="1" x14ac:dyDescent="0.25">
      <c r="A24" s="66"/>
      <c r="B24" s="538"/>
      <c r="C24" s="539"/>
      <c r="D24" s="539"/>
      <c r="E24" s="539"/>
      <c r="F24" s="539"/>
      <c r="G24" s="539"/>
      <c r="H24" s="540"/>
      <c r="I24" s="66"/>
    </row>
    <row r="25" spans="1:9" s="4" customFormat="1" ht="21" customHeight="1" x14ac:dyDescent="0.25">
      <c r="A25" s="66"/>
      <c r="B25" s="538"/>
      <c r="C25" s="539"/>
      <c r="D25" s="539"/>
      <c r="E25" s="539"/>
      <c r="F25" s="539"/>
      <c r="G25" s="539"/>
      <c r="H25" s="540"/>
      <c r="I25" s="66"/>
    </row>
    <row r="26" spans="1:9" s="4" customFormat="1" ht="21" customHeight="1" x14ac:dyDescent="0.25">
      <c r="A26" s="66"/>
      <c r="B26" s="538"/>
      <c r="C26" s="539"/>
      <c r="D26" s="539"/>
      <c r="E26" s="539"/>
      <c r="F26" s="539"/>
      <c r="G26" s="539"/>
      <c r="H26" s="540"/>
      <c r="I26" s="66"/>
    </row>
    <row r="27" spans="1:9" s="4" customFormat="1" ht="21" customHeight="1" x14ac:dyDescent="0.25">
      <c r="A27" s="66"/>
      <c r="B27" s="538"/>
      <c r="C27" s="539"/>
      <c r="D27" s="539"/>
      <c r="E27" s="539"/>
      <c r="F27" s="539"/>
      <c r="G27" s="539"/>
      <c r="H27" s="540"/>
      <c r="I27" s="66"/>
    </row>
    <row r="28" spans="1:9" s="4" customFormat="1" ht="21" customHeight="1" x14ac:dyDescent="0.25">
      <c r="A28" s="66"/>
      <c r="B28" s="561"/>
      <c r="C28" s="562"/>
      <c r="D28" s="562"/>
      <c r="E28" s="562"/>
      <c r="F28" s="562"/>
      <c r="G28" s="562"/>
      <c r="H28" s="563"/>
      <c r="I28" s="66"/>
    </row>
    <row r="29" spans="1:9" s="4" customFormat="1" ht="6" customHeight="1" x14ac:dyDescent="0.25">
      <c r="A29" s="66"/>
      <c r="I29" s="66"/>
    </row>
    <row r="30" spans="1:9" s="66" customFormat="1" ht="23.45" customHeight="1" x14ac:dyDescent="0.25">
      <c r="B30" s="552" t="s">
        <v>545</v>
      </c>
      <c r="C30" s="553"/>
      <c r="D30" s="553"/>
      <c r="E30" s="553"/>
      <c r="F30" s="553"/>
      <c r="G30" s="553"/>
      <c r="H30" s="554"/>
    </row>
    <row r="31" spans="1:9" s="4" customFormat="1" ht="21" customHeight="1" x14ac:dyDescent="0.25">
      <c r="A31" s="66"/>
      <c r="B31" s="558"/>
      <c r="C31" s="559"/>
      <c r="D31" s="559"/>
      <c r="E31" s="559"/>
      <c r="F31" s="559"/>
      <c r="G31" s="559"/>
      <c r="H31" s="560"/>
      <c r="I31" s="66"/>
    </row>
    <row r="32" spans="1:9" s="4" customFormat="1" ht="21" customHeight="1" x14ac:dyDescent="0.25">
      <c r="A32" s="66"/>
      <c r="B32" s="538"/>
      <c r="C32" s="539"/>
      <c r="D32" s="539"/>
      <c r="E32" s="539"/>
      <c r="F32" s="539"/>
      <c r="G32" s="539"/>
      <c r="H32" s="540"/>
      <c r="I32" s="66"/>
    </row>
    <row r="33" spans="1:9" s="4" customFormat="1" ht="21" customHeight="1" x14ac:dyDescent="0.25">
      <c r="A33" s="66"/>
      <c r="B33" s="538"/>
      <c r="C33" s="539"/>
      <c r="D33" s="539"/>
      <c r="E33" s="539"/>
      <c r="F33" s="539"/>
      <c r="G33" s="539"/>
      <c r="H33" s="540"/>
      <c r="I33" s="66"/>
    </row>
    <row r="34" spans="1:9" s="4" customFormat="1" ht="21" customHeight="1" x14ac:dyDescent="0.25">
      <c r="A34" s="66"/>
      <c r="B34" s="538"/>
      <c r="C34" s="539"/>
      <c r="D34" s="539"/>
      <c r="E34" s="539"/>
      <c r="F34" s="539"/>
      <c r="G34" s="539"/>
      <c r="H34" s="540"/>
      <c r="I34" s="66"/>
    </row>
    <row r="35" spans="1:9" s="4" customFormat="1" ht="21" customHeight="1" x14ac:dyDescent="0.25">
      <c r="A35" s="66"/>
      <c r="B35" s="561"/>
      <c r="C35" s="562"/>
      <c r="D35" s="562"/>
      <c r="E35" s="562"/>
      <c r="F35" s="562"/>
      <c r="G35" s="562"/>
      <c r="H35" s="563"/>
      <c r="I35" s="66"/>
    </row>
    <row r="36" spans="1:9" s="4" customFormat="1" ht="6" customHeight="1" x14ac:dyDescent="0.25">
      <c r="A36" s="66"/>
      <c r="I36" s="66"/>
    </row>
    <row r="37" spans="1:9" s="4" customFormat="1" ht="11.45" customHeight="1" x14ac:dyDescent="0.25">
      <c r="A37" s="66"/>
      <c r="B37" s="472" t="s">
        <v>416</v>
      </c>
      <c r="C37" s="472"/>
      <c r="D37" s="472"/>
      <c r="E37" s="472"/>
      <c r="F37" s="472"/>
      <c r="G37" s="472"/>
      <c r="H37" s="472"/>
      <c r="I37" s="66"/>
    </row>
    <row r="38" spans="1:9" s="4" customFormat="1" ht="11.45" customHeight="1" x14ac:dyDescent="0.25">
      <c r="A38" s="66"/>
      <c r="I38" s="66"/>
    </row>
    <row r="39" spans="1:9" s="4" customFormat="1" ht="11.45" customHeight="1" x14ac:dyDescent="0.25">
      <c r="A39" s="66"/>
      <c r="I39" s="66"/>
    </row>
    <row r="40" spans="1:9" s="4" customFormat="1" ht="11.45" customHeight="1" x14ac:dyDescent="0.25">
      <c r="A40" s="66"/>
      <c r="B40" s="4" t="s">
        <v>109</v>
      </c>
      <c r="D40" s="30"/>
      <c r="F40" s="30"/>
      <c r="G40" s="30"/>
      <c r="H40" s="30"/>
      <c r="I40" s="66"/>
    </row>
    <row r="41" spans="1:9" s="4" customFormat="1" ht="11.45" customHeight="1" x14ac:dyDescent="0.25">
      <c r="A41" s="66"/>
      <c r="F41" s="564" t="s">
        <v>110</v>
      </c>
      <c r="G41" s="564"/>
      <c r="H41" s="564"/>
      <c r="I41" s="66"/>
    </row>
    <row r="42" spans="1:9" s="4" customFormat="1" ht="24" customHeight="1" x14ac:dyDescent="0.25">
      <c r="B42" s="472"/>
      <c r="C42" s="472"/>
      <c r="D42" s="472"/>
      <c r="E42" s="472"/>
      <c r="F42" s="472"/>
      <c r="G42" s="472"/>
      <c r="H42" s="472"/>
    </row>
    <row r="43" spans="1:9" s="4" customFormat="1" ht="12" x14ac:dyDescent="0.25"/>
    <row r="44" spans="1:9" s="4" customFormat="1" ht="12" x14ac:dyDescent="0.25"/>
    <row r="45" spans="1:9" s="4" customFormat="1" ht="12" x14ac:dyDescent="0.25"/>
    <row r="46" spans="1:9" s="4" customFormat="1" ht="12" x14ac:dyDescent="0.25"/>
    <row r="47" spans="1:9" s="4" customFormat="1" ht="12" x14ac:dyDescent="0.25"/>
    <row r="48" spans="1:9" s="4" customFormat="1" ht="12" x14ac:dyDescent="0.25"/>
    <row r="49" s="4" customFormat="1" ht="12" x14ac:dyDescent="0.25"/>
    <row r="50" s="4" customFormat="1" ht="12" x14ac:dyDescent="0.25"/>
    <row r="51" s="4" customFormat="1" ht="12" x14ac:dyDescent="0.25"/>
    <row r="52" s="4" customFormat="1" ht="12" x14ac:dyDescent="0.25"/>
    <row r="53" s="4" customFormat="1" ht="12" x14ac:dyDescent="0.25"/>
    <row r="54" s="4" customFormat="1" ht="12" x14ac:dyDescent="0.25"/>
    <row r="55" s="4" customFormat="1" ht="12" x14ac:dyDescent="0.25"/>
    <row r="56" s="4" customFormat="1" ht="12" x14ac:dyDescent="0.25"/>
    <row r="57" s="4" customFormat="1" ht="12" x14ac:dyDescent="0.25"/>
    <row r="58" s="4" customFormat="1" ht="12" x14ac:dyDescent="0.25"/>
    <row r="59" s="4" customFormat="1" ht="12" x14ac:dyDescent="0.25"/>
    <row r="60" s="4" customFormat="1" ht="12" x14ac:dyDescent="0.25"/>
    <row r="61" s="4" customFormat="1" ht="12" x14ac:dyDescent="0.25"/>
    <row r="62" s="4" customFormat="1" ht="12" x14ac:dyDescent="0.25"/>
    <row r="63" s="4" customFormat="1" ht="12" x14ac:dyDescent="0.25"/>
    <row r="64" s="4" customFormat="1" ht="12" x14ac:dyDescent="0.25"/>
    <row r="65" s="4" customFormat="1" ht="12" x14ac:dyDescent="0.25"/>
    <row r="66" s="4" customFormat="1" ht="12" x14ac:dyDescent="0.25"/>
    <row r="67" s="4" customFormat="1" ht="12" x14ac:dyDescent="0.25"/>
    <row r="68" s="4" customFormat="1" ht="12" x14ac:dyDescent="0.25"/>
    <row r="69" s="4" customFormat="1" ht="12" x14ac:dyDescent="0.25"/>
    <row r="70" s="4" customFormat="1" ht="12" x14ac:dyDescent="0.25"/>
    <row r="71" s="4" customFormat="1" ht="12" x14ac:dyDescent="0.25"/>
    <row r="72" s="4" customFormat="1" ht="12" x14ac:dyDescent="0.25"/>
    <row r="73" s="4" customFormat="1" ht="12" x14ac:dyDescent="0.25"/>
    <row r="74" s="4" customFormat="1" ht="12" x14ac:dyDescent="0.25"/>
    <row r="75" s="4" customFormat="1" ht="12" x14ac:dyDescent="0.25"/>
    <row r="76" s="4" customFormat="1" ht="12" x14ac:dyDescent="0.25"/>
    <row r="77" s="4" customFormat="1" ht="12" x14ac:dyDescent="0.25"/>
    <row r="78" s="4" customFormat="1" ht="12" x14ac:dyDescent="0.25"/>
    <row r="79" s="4" customFormat="1" ht="12" x14ac:dyDescent="0.25"/>
    <row r="80" s="4" customFormat="1" ht="12" x14ac:dyDescent="0.25"/>
    <row r="81" s="4" customFormat="1" ht="12" x14ac:dyDescent="0.25"/>
    <row r="82" s="4" customFormat="1" ht="12" x14ac:dyDescent="0.25"/>
    <row r="83" s="4" customFormat="1" ht="12" x14ac:dyDescent="0.25"/>
    <row r="84" s="4" customFormat="1" ht="12" x14ac:dyDescent="0.25"/>
    <row r="85" s="34" customFormat="1" x14ac:dyDescent="0.25"/>
  </sheetData>
  <sheetProtection algorithmName="SHA-512" hashValue="WrTY13lWuoRAsSgMG9A282kTjDG2Wj4kviqhz+bjenjLye2IOaieHzrjwLnQ5eDpE3z0LkRsocXclRZYULEpTw==" saltValue="MfQTK8kA3cS+0ZLxlA1ntg==" spinCount="100000" sheet="1" objects="1" scenarios="1"/>
  <protectedRanges>
    <protectedRange sqref="H9:H16 B31:H35 B19:H28" name="Raspon6"/>
  </protectedRanges>
  <mergeCells count="35">
    <mergeCell ref="B28:H28"/>
    <mergeCell ref="B35:H35"/>
    <mergeCell ref="B37:H37"/>
    <mergeCell ref="F41:H41"/>
    <mergeCell ref="B30:H30"/>
    <mergeCell ref="B33:H33"/>
    <mergeCell ref="B34:H34"/>
    <mergeCell ref="B32:H32"/>
    <mergeCell ref="B42:H42"/>
    <mergeCell ref="B1:H1"/>
    <mergeCell ref="C7:G7"/>
    <mergeCell ref="C8:G8"/>
    <mergeCell ref="C14:G14"/>
    <mergeCell ref="C13:G13"/>
    <mergeCell ref="C12:G12"/>
    <mergeCell ref="C11:G11"/>
    <mergeCell ref="C9:G9"/>
    <mergeCell ref="B31:H31"/>
    <mergeCell ref="B19:H19"/>
    <mergeCell ref="B20:H20"/>
    <mergeCell ref="B21:H21"/>
    <mergeCell ref="B22:H22"/>
    <mergeCell ref="B23:H23"/>
    <mergeCell ref="B27:H27"/>
    <mergeCell ref="B26:H26"/>
    <mergeCell ref="C10:G10"/>
    <mergeCell ref="B2:E4"/>
    <mergeCell ref="G2:H2"/>
    <mergeCell ref="F2:F3"/>
    <mergeCell ref="B6:H6"/>
    <mergeCell ref="B18:H18"/>
    <mergeCell ref="B24:H24"/>
    <mergeCell ref="B25:H25"/>
    <mergeCell ref="C15:G15"/>
    <mergeCell ref="C16:G16"/>
  </mergeCells>
  <printOptions horizontalCentered="1"/>
  <pageMargins left="0.39370078740157483" right="0.39370078740157483" top="0.47244094488188981" bottom="0.47244094488188981" header="0" footer="0.19685039370078741"/>
  <pageSetup paperSize="9" scale="94" orientation="portrait" r:id="rId1"/>
  <headerFooter>
    <oddFooter>&amp;L&amp;"Arial,Uobičajeno"&amp;8          DOH 2023&amp;C&amp;"Arial,Uobičajeno"&amp;8RRiF-ov obrazac  ©  rrif.hr&amp;R&amp;"Arial,Uobičajeno"&amp;8Stranica 7          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9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3.7109375" style="25" customWidth="1"/>
    <col min="3" max="6" width="24" style="25" customWidth="1"/>
    <col min="7" max="7" width="4.42578125" style="25" customWidth="1"/>
    <col min="8" max="16384" width="8.85546875" style="25"/>
  </cols>
  <sheetData>
    <row r="1" spans="1:7" s="60" customFormat="1" ht="24" customHeight="1" x14ac:dyDescent="0.25">
      <c r="A1" s="66"/>
      <c r="B1" s="565"/>
      <c r="C1" s="565"/>
      <c r="D1" s="565"/>
      <c r="E1" s="565"/>
      <c r="F1" s="565"/>
    </row>
    <row r="2" spans="1:7" s="60" customFormat="1" ht="15.75" x14ac:dyDescent="0.2">
      <c r="F2" s="26" t="s">
        <v>90</v>
      </c>
    </row>
    <row r="3" spans="1:7" s="5" customFormat="1" ht="13.15" customHeight="1" x14ac:dyDescent="0.2">
      <c r="A3" s="60"/>
      <c r="F3" s="36" t="s">
        <v>660</v>
      </c>
      <c r="G3" s="60"/>
    </row>
    <row r="4" spans="1:7" s="66" customFormat="1" ht="23.45" customHeight="1" x14ac:dyDescent="0.25">
      <c r="A4" s="60"/>
      <c r="B4" s="575" t="str">
        <f>" 9. UTVRĐIVANJE POREZA I PRIREZA ZA "&amp;ZaGodinu&amp;" GODINU"</f>
        <v xml:space="preserve"> 9. UTVRĐIVANJE POREZA I PRIREZA ZA 2023 GODINU</v>
      </c>
      <c r="C4" s="576"/>
      <c r="D4" s="576"/>
      <c r="E4" s="576"/>
      <c r="F4" s="577"/>
      <c r="G4" s="60"/>
    </row>
    <row r="5" spans="1:7" s="67" customFormat="1" ht="21.6" customHeight="1" x14ac:dyDescent="0.2">
      <c r="A5" s="60"/>
      <c r="B5" s="373" t="s">
        <v>561</v>
      </c>
      <c r="C5" s="353"/>
      <c r="D5" s="353"/>
      <c r="E5" s="353"/>
      <c r="F5" s="354"/>
      <c r="G5" s="60"/>
    </row>
    <row r="6" spans="1:7" s="24" customFormat="1" ht="45" customHeight="1" x14ac:dyDescent="0.2">
      <c r="A6" s="60"/>
      <c r="B6" s="154" t="s">
        <v>91</v>
      </c>
      <c r="C6" s="95" t="s">
        <v>562</v>
      </c>
      <c r="D6" s="95" t="s">
        <v>563</v>
      </c>
      <c r="E6" s="95" t="s">
        <v>564</v>
      </c>
      <c r="F6" s="97" t="s">
        <v>565</v>
      </c>
      <c r="G6" s="60"/>
    </row>
    <row r="7" spans="1:7" s="65" customFormat="1" ht="25.9" customHeight="1" x14ac:dyDescent="0.2">
      <c r="A7" s="60"/>
      <c r="B7" s="2">
        <v>1</v>
      </c>
      <c r="C7" s="153" t="s">
        <v>654</v>
      </c>
      <c r="D7" s="75" t="s">
        <v>372</v>
      </c>
      <c r="E7" s="153" t="str">
        <f>"4
(st. 3 * " &amp; TEXT(UvecanjeOsnovnogOsobnogOdbitka, "#.##0,00") &amp; ")"</f>
        <v>4
(st. 3 * 331,81)</v>
      </c>
      <c r="F7" s="98" t="s">
        <v>658</v>
      </c>
      <c r="G7" s="60"/>
    </row>
    <row r="8" spans="1:7" s="4" customFormat="1" ht="25.15" customHeight="1" x14ac:dyDescent="0.2">
      <c r="A8" s="60"/>
      <c r="B8" s="3" t="s">
        <v>94</v>
      </c>
      <c r="C8" s="147"/>
      <c r="D8" s="147"/>
      <c r="E8" s="142" t="str">
        <f t="shared" ref="E8:E19" si="0">IF(D8="", "", N(D8) * UvecanjeOsnovnogOsobnogOdbitka)</f>
        <v/>
      </c>
      <c r="F8" s="133" t="str">
        <f>IF(C8&amp;E8="","",N(C8)+N(E8))</f>
        <v/>
      </c>
      <c r="G8" s="60"/>
    </row>
    <row r="9" spans="1:7" s="4" customFormat="1" ht="25.15" customHeight="1" x14ac:dyDescent="0.2">
      <c r="A9" s="60"/>
      <c r="B9" s="3" t="s">
        <v>95</v>
      </c>
      <c r="C9" s="147"/>
      <c r="D9" s="147"/>
      <c r="E9" s="142" t="str">
        <f t="shared" si="0"/>
        <v/>
      </c>
      <c r="F9" s="133" t="str">
        <f>IF(C9&amp;E9="","",N(C9)+N(E9))</f>
        <v/>
      </c>
      <c r="G9" s="60"/>
    </row>
    <row r="10" spans="1:7" s="4" customFormat="1" ht="25.15" customHeight="1" x14ac:dyDescent="0.2">
      <c r="A10" s="60"/>
      <c r="B10" s="3" t="s">
        <v>96</v>
      </c>
      <c r="C10" s="147"/>
      <c r="D10" s="147"/>
      <c r="E10" s="142" t="str">
        <f t="shared" si="0"/>
        <v/>
      </c>
      <c r="F10" s="133" t="str">
        <f t="shared" ref="F10:F19" si="1">IF(C10&amp;E10="","",N(C10)+N(E10))</f>
        <v/>
      </c>
      <c r="G10" s="60"/>
    </row>
    <row r="11" spans="1:7" s="4" customFormat="1" ht="25.15" customHeight="1" x14ac:dyDescent="0.2">
      <c r="A11" s="60"/>
      <c r="B11" s="3" t="s">
        <v>97</v>
      </c>
      <c r="C11" s="147"/>
      <c r="D11" s="147"/>
      <c r="E11" s="142" t="str">
        <f t="shared" si="0"/>
        <v/>
      </c>
      <c r="F11" s="133" t="str">
        <f t="shared" si="1"/>
        <v/>
      </c>
      <c r="G11" s="60"/>
    </row>
    <row r="12" spans="1:7" s="4" customFormat="1" ht="25.15" customHeight="1" x14ac:dyDescent="0.2">
      <c r="A12" s="60"/>
      <c r="B12" s="3" t="s">
        <v>98</v>
      </c>
      <c r="C12" s="147"/>
      <c r="D12" s="147"/>
      <c r="E12" s="142" t="str">
        <f t="shared" si="0"/>
        <v/>
      </c>
      <c r="F12" s="133" t="str">
        <f t="shared" si="1"/>
        <v/>
      </c>
      <c r="G12" s="60"/>
    </row>
    <row r="13" spans="1:7" s="4" customFormat="1" ht="25.15" customHeight="1" x14ac:dyDescent="0.2">
      <c r="A13" s="60"/>
      <c r="B13" s="3" t="s">
        <v>99</v>
      </c>
      <c r="C13" s="147"/>
      <c r="D13" s="147"/>
      <c r="E13" s="142" t="str">
        <f t="shared" si="0"/>
        <v/>
      </c>
      <c r="F13" s="133" t="str">
        <f t="shared" si="1"/>
        <v/>
      </c>
      <c r="G13" s="60"/>
    </row>
    <row r="14" spans="1:7" s="4" customFormat="1" ht="25.15" customHeight="1" x14ac:dyDescent="0.2">
      <c r="A14" s="60"/>
      <c r="B14" s="3" t="s">
        <v>100</v>
      </c>
      <c r="C14" s="147"/>
      <c r="D14" s="147"/>
      <c r="E14" s="142" t="str">
        <f t="shared" si="0"/>
        <v/>
      </c>
      <c r="F14" s="133" t="str">
        <f t="shared" si="1"/>
        <v/>
      </c>
      <c r="G14" s="60"/>
    </row>
    <row r="15" spans="1:7" s="4" customFormat="1" ht="25.15" customHeight="1" x14ac:dyDescent="0.2">
      <c r="A15" s="60"/>
      <c r="B15" s="3" t="s">
        <v>101</v>
      </c>
      <c r="C15" s="147"/>
      <c r="D15" s="147"/>
      <c r="E15" s="142" t="str">
        <f t="shared" si="0"/>
        <v/>
      </c>
      <c r="F15" s="133" t="str">
        <f t="shared" si="1"/>
        <v/>
      </c>
      <c r="G15" s="60"/>
    </row>
    <row r="16" spans="1:7" s="4" customFormat="1" ht="25.15" customHeight="1" x14ac:dyDescent="0.2">
      <c r="A16" s="60"/>
      <c r="B16" s="3" t="s">
        <v>102</v>
      </c>
      <c r="C16" s="147"/>
      <c r="D16" s="147"/>
      <c r="E16" s="142" t="str">
        <f t="shared" si="0"/>
        <v/>
      </c>
      <c r="F16" s="133" t="str">
        <f t="shared" si="1"/>
        <v/>
      </c>
      <c r="G16" s="60"/>
    </row>
    <row r="17" spans="1:7" s="4" customFormat="1" ht="25.15" customHeight="1" x14ac:dyDescent="0.2">
      <c r="A17" s="60"/>
      <c r="B17" s="3" t="s">
        <v>103</v>
      </c>
      <c r="C17" s="147"/>
      <c r="D17" s="147"/>
      <c r="E17" s="142" t="str">
        <f t="shared" si="0"/>
        <v/>
      </c>
      <c r="F17" s="133" t="str">
        <f t="shared" si="1"/>
        <v/>
      </c>
      <c r="G17" s="60"/>
    </row>
    <row r="18" spans="1:7" s="4" customFormat="1" ht="25.15" customHeight="1" x14ac:dyDescent="0.2">
      <c r="A18" s="60"/>
      <c r="B18" s="3" t="s">
        <v>104</v>
      </c>
      <c r="C18" s="147"/>
      <c r="D18" s="147"/>
      <c r="E18" s="142" t="str">
        <f t="shared" si="0"/>
        <v/>
      </c>
      <c r="F18" s="133" t="str">
        <f t="shared" si="1"/>
        <v/>
      </c>
      <c r="G18" s="60"/>
    </row>
    <row r="19" spans="1:7" s="4" customFormat="1" ht="25.15" customHeight="1" x14ac:dyDescent="0.2">
      <c r="A19" s="60"/>
      <c r="B19" s="32" t="s">
        <v>105</v>
      </c>
      <c r="C19" s="147"/>
      <c r="D19" s="148"/>
      <c r="E19" s="146" t="str">
        <f t="shared" si="0"/>
        <v/>
      </c>
      <c r="F19" s="134" t="str">
        <f t="shared" si="1"/>
        <v/>
      </c>
      <c r="G19" s="60"/>
    </row>
    <row r="20" spans="1:7" s="4" customFormat="1" ht="28.9" customHeight="1" x14ac:dyDescent="0.2">
      <c r="A20" s="60"/>
      <c r="B20" s="411" t="s">
        <v>106</v>
      </c>
      <c r="C20" s="412"/>
      <c r="D20" s="412"/>
      <c r="E20" s="412"/>
      <c r="F20" s="51" t="str">
        <f>IF(F8&amp;F9&amp;F10&amp;F11&amp;F12&amp;F13&amp;F14&amp;F15&amp;F16&amp;F17&amp;F18&amp;F19="","",N(F8)+N(F9)+N(F10)+N(F11)+N(F12)+N(F13)+N(F14)+N(F15)+N(F16)+N(F17)+N(F18)+N(F19))</f>
        <v/>
      </c>
      <c r="G20" s="60"/>
    </row>
    <row r="21" spans="1:7" s="4" customFormat="1" ht="6" customHeight="1" x14ac:dyDescent="0.2">
      <c r="A21" s="60"/>
      <c r="G21" s="60"/>
    </row>
    <row r="22" spans="1:7" s="68" customFormat="1" ht="48" customHeight="1" x14ac:dyDescent="0.2">
      <c r="A22" s="60"/>
      <c r="B22" s="352" t="s">
        <v>569</v>
      </c>
      <c r="C22" s="578"/>
      <c r="D22" s="578"/>
      <c r="E22" s="579"/>
      <c r="F22" s="51" t="str">
        <f>Odbitak_3_3</f>
        <v/>
      </c>
      <c r="G22" s="60"/>
    </row>
    <row r="23" spans="1:7" s="4" customFormat="1" ht="6" customHeight="1" x14ac:dyDescent="0.2">
      <c r="A23" s="60"/>
      <c r="G23" s="60"/>
    </row>
    <row r="24" spans="1:7" s="67" customFormat="1" ht="27" customHeight="1" x14ac:dyDescent="0.2">
      <c r="A24" s="60"/>
      <c r="B24" s="373" t="s">
        <v>568</v>
      </c>
      <c r="C24" s="353"/>
      <c r="D24" s="353"/>
      <c r="E24" s="354"/>
      <c r="F24" s="51" t="str">
        <f>IF(Odbitak_9_1&amp;Odbitak_9_2="","",N(Odbitak_9_1)+N(Odbitak_9_2))</f>
        <v/>
      </c>
      <c r="G24" s="60"/>
    </row>
    <row r="25" spans="1:7" s="4" customFormat="1" ht="6" customHeight="1" x14ac:dyDescent="0.2">
      <c r="A25" s="60"/>
      <c r="G25" s="60"/>
    </row>
    <row r="26" spans="1:7" s="67" customFormat="1" ht="27" customHeight="1" x14ac:dyDescent="0.2">
      <c r="A26" s="60"/>
      <c r="B26" s="373" t="s">
        <v>567</v>
      </c>
      <c r="C26" s="353"/>
      <c r="D26" s="353"/>
      <c r="E26" s="353"/>
      <c r="F26" s="354"/>
      <c r="G26" s="60"/>
    </row>
    <row r="27" spans="1:7" s="69" customFormat="1" ht="27" customHeight="1" x14ac:dyDescent="0.2">
      <c r="A27" s="60"/>
      <c r="B27" s="566" t="s">
        <v>570</v>
      </c>
      <c r="C27" s="567"/>
      <c r="D27" s="567"/>
      <c r="E27" s="568"/>
      <c r="F27" s="155" t="str">
        <f>Dohodak_5</f>
        <v/>
      </c>
      <c r="G27" s="60"/>
    </row>
    <row r="28" spans="1:7" s="69" customFormat="1" ht="27" customHeight="1" x14ac:dyDescent="0.2">
      <c r="A28" s="60"/>
      <c r="B28" s="569" t="s">
        <v>606</v>
      </c>
      <c r="C28" s="570"/>
      <c r="D28" s="570"/>
      <c r="E28" s="571"/>
      <c r="F28" s="156" t="str">
        <f>IF(Odbitak_9_3&amp;Dohodak_9_4_1="","",MIN(N(Odbitak_9_3),N(Dohodak_9_4_1)))</f>
        <v/>
      </c>
      <c r="G28" s="60"/>
    </row>
    <row r="29" spans="1:7" s="69" customFormat="1" ht="27" customHeight="1" x14ac:dyDescent="0.2">
      <c r="A29" s="60"/>
      <c r="B29" s="572" t="s">
        <v>571</v>
      </c>
      <c r="C29" s="573"/>
      <c r="D29" s="573"/>
      <c r="E29" s="574"/>
      <c r="F29" s="157" t="str">
        <f>IF(Dohodak_9_4_1&amp;Odbitak_9_4_2="","",N(Dohodak_9_4_1)-N(Odbitak_9_4_2))</f>
        <v/>
      </c>
      <c r="G29" s="60"/>
    </row>
    <row r="30" spans="1:7" s="4" customFormat="1" ht="6" customHeight="1" x14ac:dyDescent="0.2">
      <c r="A30" s="60"/>
      <c r="G30" s="60"/>
    </row>
    <row r="31" spans="1:7" s="67" customFormat="1" ht="27" customHeight="1" x14ac:dyDescent="0.2">
      <c r="A31" s="60"/>
      <c r="B31" s="373" t="s">
        <v>566</v>
      </c>
      <c r="C31" s="353"/>
      <c r="D31" s="353"/>
      <c r="E31" s="353"/>
      <c r="F31" s="354"/>
      <c r="G31" s="60"/>
    </row>
    <row r="32" spans="1:7" s="69" customFormat="1" ht="27" customHeight="1" x14ac:dyDescent="0.2">
      <c r="A32" s="60"/>
      <c r="B32" s="566" t="s">
        <v>572</v>
      </c>
      <c r="C32" s="567"/>
      <c r="D32" s="567"/>
      <c r="E32" s="568"/>
      <c r="F32" s="155" t="str">
        <f>Osnovica_9_4_3</f>
        <v/>
      </c>
      <c r="G32" s="60"/>
    </row>
    <row r="33" spans="1:8" s="69" customFormat="1" ht="27" customHeight="1" x14ac:dyDescent="0.2">
      <c r="A33" s="60"/>
      <c r="B33" s="569" t="str">
        <f>" 9.5.2. DIO POREZNE OSNOVICE DO " &amp; TEXT(GranicaOsnoviceZa1StopuPoreza,"#.##0,00") &amp; " € ZA PRIMJENU STOPE "&amp;(Stopa_1*100)&amp;"%"</f>
        <v xml:space="preserve"> 9.5.2. DIO POREZNE OSNOVICE DO 47.780,28 € ZA PRIMJENU STOPE 20%</v>
      </c>
      <c r="C33" s="570"/>
      <c r="D33" s="570"/>
      <c r="E33" s="571"/>
      <c r="F33" s="156" t="str">
        <f>IF(Osnovica_9_5_1="","",MIN(N(Osnovica_9_5_1),GranicaOsnoviceZa1StopuPoreza))</f>
        <v/>
      </c>
      <c r="G33" s="60"/>
    </row>
    <row r="34" spans="1:8" s="69" customFormat="1" ht="27" customHeight="1" x14ac:dyDescent="0.2">
      <c r="A34" s="60"/>
      <c r="B34" s="572" t="str">
        <f>" 9.5.3. DIO POREZNE OSNOVICE ZA PRIMJENU STOPE "&amp;(Stopa_2*100)&amp;"% (9.5.1. - 9.5.2.)"</f>
        <v xml:space="preserve"> 9.5.3. DIO POREZNE OSNOVICE ZA PRIMJENU STOPE 30% (9.5.1. - 9.5.2.)</v>
      </c>
      <c r="C34" s="573"/>
      <c r="D34" s="573"/>
      <c r="E34" s="574"/>
      <c r="F34" s="157" t="str">
        <f>IF(Osnovica_9_5_1&amp;Osnovica_9_5_2="","",MAX(0,N(Osnovica_9_5_1)-N(Osnovica_9_5_2)))</f>
        <v/>
      </c>
      <c r="G34" s="60"/>
    </row>
    <row r="35" spans="1:8" s="69" customFormat="1" ht="6" customHeight="1" x14ac:dyDescent="0.2">
      <c r="A35" s="60"/>
      <c r="B35" s="175"/>
      <c r="C35" s="175"/>
      <c r="D35" s="175"/>
      <c r="E35" s="175"/>
      <c r="F35" s="176"/>
      <c r="G35" s="60"/>
    </row>
    <row r="36" spans="1:8" s="69" customFormat="1" ht="35.25" customHeight="1" x14ac:dyDescent="0.2">
      <c r="A36" s="60"/>
      <c r="B36" s="407"/>
      <c r="C36" s="407"/>
      <c r="D36" s="407"/>
      <c r="E36" s="407"/>
      <c r="F36" s="407"/>
      <c r="G36" s="174"/>
      <c r="H36" s="174"/>
    </row>
    <row r="37" spans="1:8" s="4" customFormat="1" ht="24" customHeight="1" x14ac:dyDescent="0.25"/>
    <row r="38" spans="1:8" s="4" customFormat="1" ht="12.75" x14ac:dyDescent="0.25">
      <c r="A38" s="5"/>
      <c r="B38" s="472"/>
      <c r="C38" s="472"/>
      <c r="D38" s="472"/>
      <c r="E38" s="472"/>
      <c r="F38" s="472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7" s="4" customFormat="1" ht="12.75" x14ac:dyDescent="0.25">
      <c r="A81" s="5"/>
    </row>
    <row r="82" spans="1:7" s="4" customFormat="1" ht="12.75" x14ac:dyDescent="0.25">
      <c r="A82" s="5"/>
    </row>
    <row r="83" spans="1:7" s="4" customFormat="1" ht="12.75" x14ac:dyDescent="0.25">
      <c r="A83" s="5"/>
    </row>
    <row r="84" spans="1:7" s="4" customFormat="1" ht="12.75" x14ac:dyDescent="0.25">
      <c r="A84" s="5"/>
    </row>
    <row r="85" spans="1:7" s="4" customFormat="1" ht="12.75" x14ac:dyDescent="0.25">
      <c r="A85" s="5"/>
    </row>
    <row r="86" spans="1:7" s="4" customFormat="1" ht="12.75" x14ac:dyDescent="0.25">
      <c r="A86" s="5"/>
    </row>
    <row r="87" spans="1:7" s="4" customFormat="1" ht="12.75" x14ac:dyDescent="0.25">
      <c r="A87" s="5"/>
    </row>
    <row r="88" spans="1:7" s="34" customFormat="1" x14ac:dyDescent="0.25">
      <c r="A88" s="5"/>
      <c r="B88" s="4"/>
      <c r="C88" s="4"/>
      <c r="D88" s="4"/>
      <c r="E88" s="4"/>
      <c r="F88" s="4"/>
      <c r="G88" s="4"/>
    </row>
    <row r="89" spans="1:7" x14ac:dyDescent="0.2">
      <c r="A89" s="5"/>
      <c r="B89" s="34"/>
      <c r="C89" s="34"/>
      <c r="D89" s="34"/>
      <c r="E89" s="34"/>
      <c r="F89" s="34"/>
      <c r="G89" s="34"/>
    </row>
  </sheetData>
  <sheetProtection algorithmName="SHA-512" hashValue="QF4HV3qdGNmH8g8Yy2OgFtrgJ5eHc3yX2yzFlzBB2jXSGaxkNVJsJJKFVK92SD2orCI/V411ErF5c7VVGthsuQ==" saltValue="pZo/USlIjpyeD82v13Bs1Q==" spinCount="100000" sheet="1" objects="1" scenarios="1"/>
  <protectedRanges>
    <protectedRange sqref="C8:C19" name="Raspon7"/>
  </protectedRanges>
  <mergeCells count="16">
    <mergeCell ref="B36:F36"/>
    <mergeCell ref="B38:F38"/>
    <mergeCell ref="B1:F1"/>
    <mergeCell ref="B32:E32"/>
    <mergeCell ref="B33:E33"/>
    <mergeCell ref="B34:E34"/>
    <mergeCell ref="B20:E20"/>
    <mergeCell ref="B4:F4"/>
    <mergeCell ref="B5:F5"/>
    <mergeCell ref="B22:E22"/>
    <mergeCell ref="B24:E24"/>
    <mergeCell ref="B26:F26"/>
    <mergeCell ref="B31:F31"/>
    <mergeCell ref="B27:E27"/>
    <mergeCell ref="B28:E28"/>
    <mergeCell ref="B29:E29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2023&amp;C&amp;"Arial,Uobičajeno"&amp;8RRiF-ov obrazac  ©  rrif.hr&amp;R&amp;"Arial,Uobičajeno"&amp;8Stranica 8          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3"/>
  <sheetViews>
    <sheetView zoomScaleNormal="100" workbookViewId="0"/>
  </sheetViews>
  <sheetFormatPr defaultColWidth="8.85546875" defaultRowHeight="15" x14ac:dyDescent="0.25"/>
  <cols>
    <col min="1" max="1" width="4.5703125" style="59" customWidth="1"/>
    <col min="2" max="2" width="43.85546875" style="25" customWidth="1"/>
    <col min="3" max="3" width="22.85546875" style="25" customWidth="1"/>
    <col min="4" max="4" width="9.140625" style="25" customWidth="1"/>
    <col min="5" max="5" width="22.85546875" style="25" customWidth="1"/>
    <col min="6" max="6" width="4.42578125" style="25" customWidth="1"/>
    <col min="7" max="7" width="8.85546875" style="25"/>
    <col min="8" max="8" width="8.85546875" style="45" hidden="1" customWidth="1"/>
    <col min="9" max="16384" width="8.85546875" style="25"/>
  </cols>
  <sheetData>
    <row r="1" spans="1:8" s="60" customFormat="1" ht="24" customHeight="1" x14ac:dyDescent="0.2">
      <c r="B1" s="580"/>
      <c r="C1" s="580"/>
      <c r="D1" s="580"/>
      <c r="E1" s="580"/>
      <c r="H1" s="191"/>
    </row>
    <row r="2" spans="1:8" s="69" customFormat="1" ht="24.75" customHeight="1" x14ac:dyDescent="0.25">
      <c r="A2" s="6"/>
      <c r="B2" s="566" t="str">
        <f>" 9.5.4. GODIŠNJI POREZ PO STOPI "&amp;(Stopa_1*100)&amp;"% ( 9.5.2. * "&amp;(Stopa_1*100)&amp;"% )"</f>
        <v xml:space="preserve"> 9.5.4. GODIŠNJI POREZ PO STOPI 20% ( 9.5.2. * 20% )</v>
      </c>
      <c r="C2" s="567"/>
      <c r="D2" s="195">
        <v>0.2</v>
      </c>
      <c r="E2" s="126" t="str">
        <f>IF(Osnovica_9_5_2="","",N(Osnovica_9_5_2)*Stopa_1)</f>
        <v/>
      </c>
    </row>
    <row r="3" spans="1:8" s="69" customFormat="1" ht="24.75" customHeight="1" x14ac:dyDescent="0.25">
      <c r="A3" s="6"/>
      <c r="B3" s="569" t="str">
        <f>" 9.5.5. GODIŠNJI POREZ PO STOPI "&amp;(Stopa_2*100)&amp;"% ( 9.5.3. * "&amp;(Stopa_2*100)&amp;"% )"</f>
        <v xml:space="preserve"> 9.5.5. GODIŠNJI POREZ PO STOPI 30% ( 9.5.3. * 30% )</v>
      </c>
      <c r="C3" s="570"/>
      <c r="D3" s="196">
        <v>0.3</v>
      </c>
      <c r="E3" s="125" t="str">
        <f>IF(Osnovica_9_5_3="","",N(Osnovica_9_5_3)*Stopa_2)</f>
        <v/>
      </c>
    </row>
    <row r="4" spans="1:8" s="69" customFormat="1" ht="24.75" customHeight="1" x14ac:dyDescent="0.25">
      <c r="A4" s="6"/>
      <c r="B4" s="569" t="s">
        <v>627</v>
      </c>
      <c r="C4" s="570"/>
      <c r="D4" s="571"/>
      <c r="E4" s="125" t="str">
        <f>IF(Porez_9_5_4&amp;Porez_9_5_5="","",N(Porez_9_5_4)+N(Porez_9_5_5))</f>
        <v/>
      </c>
      <c r="H4" s="69" t="s">
        <v>626</v>
      </c>
    </row>
    <row r="5" spans="1:8" s="69" customFormat="1" ht="24.75" customHeight="1" x14ac:dyDescent="0.25">
      <c r="A5" s="6"/>
      <c r="B5" s="158" t="s">
        <v>630</v>
      </c>
      <c r="C5" s="164" t="s">
        <v>369</v>
      </c>
      <c r="D5" s="165">
        <f>INDEX(PrirezListaGradova,MATCH(Mjesto_9_5_8,PrirezMjesto,0),2)</f>
        <v>0</v>
      </c>
      <c r="E5" s="125" t="str">
        <f>IF(Porez_9_5_6="","",N(Porez_9_5_6)*N(Stopa_9_5_7))</f>
        <v/>
      </c>
      <c r="G5" s="63" t="str">
        <f>IF(D5&lt;&gt;0,"Osim preko padajuće liste, stopu prireza je moguće i ručno upisati u zelenom polju","")</f>
        <v/>
      </c>
      <c r="H5" s="69" t="s">
        <v>629</v>
      </c>
    </row>
    <row r="6" spans="1:8" s="69" customFormat="1" ht="24.75" customHeight="1" x14ac:dyDescent="0.25">
      <c r="A6" s="6"/>
      <c r="B6" s="569" t="s">
        <v>633</v>
      </c>
      <c r="C6" s="570"/>
      <c r="D6" s="571"/>
      <c r="E6" s="127" t="str">
        <f>IF(Porez_9_5_6&amp;Prirez_9_5_7="","",N(Porez_9_5_6)+N(Prirez_9_5_7))</f>
        <v/>
      </c>
      <c r="H6" s="69" t="s">
        <v>628</v>
      </c>
    </row>
    <row r="7" spans="1:8" s="69" customFormat="1" ht="29.25" customHeight="1" x14ac:dyDescent="0.25">
      <c r="A7" s="6"/>
      <c r="B7" s="588" t="s">
        <v>643</v>
      </c>
      <c r="C7" s="573"/>
      <c r="D7" s="574"/>
      <c r="E7" s="166" t="str">
        <f>IF(Porez_9_5_8="","",Porez_9_5_8/Dohodak_5)</f>
        <v/>
      </c>
      <c r="H7" s="69" t="s">
        <v>631</v>
      </c>
    </row>
    <row r="8" spans="1:8" s="69" customFormat="1" ht="7.5" customHeight="1" x14ac:dyDescent="0.25">
      <c r="A8" s="6"/>
      <c r="B8" s="4"/>
      <c r="C8" s="4"/>
      <c r="D8" s="4"/>
      <c r="E8" s="4"/>
    </row>
    <row r="9" spans="1:8" s="69" customFormat="1" ht="27" customHeight="1" x14ac:dyDescent="0.25">
      <c r="A9" s="6"/>
      <c r="B9" s="373" t="s">
        <v>573</v>
      </c>
      <c r="C9" s="353"/>
      <c r="D9" s="353"/>
      <c r="E9" s="354"/>
    </row>
    <row r="10" spans="1:8" s="69" customFormat="1" ht="29.25" customHeight="1" x14ac:dyDescent="0.25">
      <c r="A10" s="6"/>
      <c r="B10" s="586" t="s">
        <v>574</v>
      </c>
      <c r="C10" s="567"/>
      <c r="D10" s="568"/>
      <c r="E10" s="126" t="str">
        <f>IF(Porez_9_5_8="","",N(Porez_9_5_8)*N(Udio_4_3_7_2))</f>
        <v/>
      </c>
      <c r="H10" s="69" t="s">
        <v>636</v>
      </c>
    </row>
    <row r="11" spans="1:8" s="4" customFormat="1" ht="29.25" customHeight="1" x14ac:dyDescent="0.25">
      <c r="A11" s="6"/>
      <c r="B11" s="585" t="s">
        <v>575</v>
      </c>
      <c r="C11" s="570"/>
      <c r="D11" s="571"/>
      <c r="E11" s="127" t="str">
        <f>IF(Porez_9_5_8="","",N(Porez_9_5_8)*N(Udio_4_3_7_1)*0.5)</f>
        <v/>
      </c>
      <c r="F11" s="69"/>
      <c r="H11" s="69" t="s">
        <v>637</v>
      </c>
    </row>
    <row r="12" spans="1:8" s="4" customFormat="1" ht="29.25" customHeight="1" x14ac:dyDescent="0.25">
      <c r="A12" s="6"/>
      <c r="B12" s="585" t="s">
        <v>621</v>
      </c>
      <c r="C12" s="570"/>
      <c r="D12" s="571"/>
      <c r="E12" s="127" t="str">
        <f>IF(Umanjenje_9_6_1&amp;Umanjenje_9_6_2="","",N(Umanjenje_9_6_1)+N(Umanjenje_9_6_2))</f>
        <v/>
      </c>
      <c r="F12" s="69"/>
      <c r="H12" s="69" t="s">
        <v>609</v>
      </c>
    </row>
    <row r="13" spans="1:8" s="4" customFormat="1" ht="24.75" customHeight="1" x14ac:dyDescent="0.25">
      <c r="A13" s="6"/>
      <c r="B13" s="569" t="s">
        <v>576</v>
      </c>
      <c r="C13" s="570"/>
      <c r="D13" s="571"/>
      <c r="E13" s="127" t="str">
        <f>IF(Porez_9_5_8=""&amp;Stupanj_4_1_8_1&amp;Stupanj_4_1_8_2,"",N(Porez_9_5_8*(N(Udio_4_1_8_1)*N(Stupanj_4_1_8_1)+N(Udio_4_1_8_2)*N(Stupanj_4_1_8_2))))</f>
        <v/>
      </c>
      <c r="F13" s="69"/>
      <c r="H13" s="69" t="s">
        <v>638</v>
      </c>
    </row>
    <row r="14" spans="1:8" s="4" customFormat="1" ht="24.75" customHeight="1" x14ac:dyDescent="0.25">
      <c r="A14" s="6"/>
      <c r="B14" s="569" t="s">
        <v>605</v>
      </c>
      <c r="C14" s="570"/>
      <c r="D14" s="571"/>
      <c r="E14" s="198"/>
      <c r="F14" s="69"/>
      <c r="H14" s="69"/>
    </row>
    <row r="15" spans="1:8" s="4" customFormat="1" ht="24.75" customHeight="1" x14ac:dyDescent="0.25">
      <c r="A15" s="6"/>
      <c r="B15" s="585" t="s">
        <v>620</v>
      </c>
      <c r="C15" s="570"/>
      <c r="D15" s="571"/>
      <c r="E15" s="127" t="str">
        <f>IF(Porez_9_5_8="","",N(Porez_9_5_8)*(N(Udio_4_1_5)+N(Udio_4_1_6))*0.5)</f>
        <v/>
      </c>
      <c r="F15" s="69"/>
      <c r="H15" s="69" t="s">
        <v>639</v>
      </c>
    </row>
    <row r="16" spans="1:8" s="194" customFormat="1" ht="42" customHeight="1" x14ac:dyDescent="0.25">
      <c r="A16" s="192"/>
      <c r="B16" s="593" t="s">
        <v>645</v>
      </c>
      <c r="C16" s="594"/>
      <c r="D16" s="595"/>
      <c r="E16" s="197" t="str">
        <f>IF(Porez_9_5_8="","",N(Porez_9_5_8)*N(Udio_4_1_2)*0.5+N(Porez_9_5_8)*N(Udio_4_1_4)*0.5)</f>
        <v/>
      </c>
      <c r="F16" s="193"/>
      <c r="H16" s="69" t="s">
        <v>641</v>
      </c>
    </row>
    <row r="17" spans="1:8" s="4" customFormat="1" ht="24.75" customHeight="1" x14ac:dyDescent="0.25">
      <c r="A17" s="6"/>
      <c r="B17" s="585" t="s">
        <v>613</v>
      </c>
      <c r="C17" s="570"/>
      <c r="D17" s="571"/>
      <c r="E17" s="127" t="str">
        <f>IF(Porez_9_5_8="","",N(Porez_9_5_8)-N(Umanjenje_9_6_3)-N(Umanjenje_9_6_4)-N(Umanjenje_9_6_6)-N(Umanjenje_9_6_7))</f>
        <v/>
      </c>
      <c r="F17" s="69"/>
      <c r="H17" s="69" t="s">
        <v>640</v>
      </c>
    </row>
    <row r="18" spans="1:8" s="4" customFormat="1" ht="24.75" customHeight="1" x14ac:dyDescent="0.25">
      <c r="A18" s="6"/>
      <c r="B18" s="569" t="s">
        <v>614</v>
      </c>
      <c r="C18" s="570"/>
      <c r="D18" s="571"/>
      <c r="E18" s="127" t="str">
        <f>IF(Tuzemni_5="","",N(Tuzemni_5))</f>
        <v/>
      </c>
      <c r="F18" s="69"/>
      <c r="H18" s="69" t="s">
        <v>610</v>
      </c>
    </row>
    <row r="19" spans="1:8" s="4" customFormat="1" ht="24.75" customHeight="1" x14ac:dyDescent="0.25">
      <c r="A19" s="6"/>
      <c r="B19" s="569" t="s">
        <v>615</v>
      </c>
      <c r="C19" s="570"/>
      <c r="D19" s="571"/>
      <c r="E19" s="127" t="str">
        <f>IF(Inozemni_5="","",N(Inozemni_5))</f>
        <v/>
      </c>
      <c r="F19" s="69"/>
      <c r="H19" s="69" t="s">
        <v>611</v>
      </c>
    </row>
    <row r="20" spans="1:8" s="4" customFormat="1" ht="29.25" customHeight="1" x14ac:dyDescent="0.25">
      <c r="A20" s="6"/>
      <c r="B20" s="582" t="s">
        <v>644</v>
      </c>
      <c r="C20" s="583"/>
      <c r="D20" s="584"/>
      <c r="E20" s="127" t="str">
        <f>IF(Inozemni_5="","",MIN(N(Inozemni_5),(N(Dohodak_4_1_3)+N(Dohodak_4_1_4)+N(Dohodak_4_1_6)+N(Dohodak_4_2_2)+N(Dohodak_4_3_1))*N(Stopa_9_5_9)))</f>
        <v/>
      </c>
      <c r="F20" s="69"/>
      <c r="H20" s="69" t="s">
        <v>642</v>
      </c>
    </row>
    <row r="21" spans="1:8" s="4" customFormat="1" ht="29.25" customHeight="1" x14ac:dyDescent="0.25">
      <c r="A21" s="6"/>
      <c r="B21" s="582" t="s">
        <v>622</v>
      </c>
      <c r="C21" s="583"/>
      <c r="D21" s="584"/>
      <c r="E21" s="127" t="str">
        <f>IF(Predujam_9_6_9&amp;Porez_9_6_11="","",N(Predujam_9_6_9)+N(Porez_9_6_11))</f>
        <v/>
      </c>
      <c r="F21" s="69"/>
      <c r="H21" s="69" t="s">
        <v>618</v>
      </c>
    </row>
    <row r="22" spans="1:8" s="4" customFormat="1" ht="24.75" customHeight="1" x14ac:dyDescent="0.25">
      <c r="A22" s="6"/>
      <c r="B22" s="587" t="s">
        <v>623</v>
      </c>
      <c r="C22" s="583"/>
      <c r="D22" s="584"/>
      <c r="E22" s="127" t="str">
        <f>IF(Porez_9_6_8&amp;Porez_9_6_12="","",MAX(N(Porez_9_6_8)-N(Porez_9_6_12),0))</f>
        <v/>
      </c>
      <c r="F22" s="69"/>
      <c r="H22" s="69" t="s">
        <v>616</v>
      </c>
    </row>
    <row r="23" spans="1:8" s="4" customFormat="1" ht="24.75" customHeight="1" x14ac:dyDescent="0.25">
      <c r="A23" s="6"/>
      <c r="B23" s="590" t="s">
        <v>624</v>
      </c>
      <c r="C23" s="591"/>
      <c r="D23" s="592"/>
      <c r="E23" s="128" t="str">
        <f>IF(Porez_9_6_8&amp;Porez_9_6_12="","",MAX(N(Porez_9_6_12)-N(Porez_9_6_8),0))</f>
        <v/>
      </c>
      <c r="F23" s="69"/>
      <c r="H23" s="69" t="s">
        <v>617</v>
      </c>
    </row>
    <row r="24" spans="1:8" s="69" customFormat="1" ht="7.5" customHeight="1" x14ac:dyDescent="0.25">
      <c r="A24" s="6"/>
      <c r="D24" s="86"/>
      <c r="E24" s="87"/>
    </row>
    <row r="25" spans="1:8" s="69" customFormat="1" ht="33.75" customHeight="1" x14ac:dyDescent="0.25">
      <c r="A25" s="6"/>
      <c r="B25" s="352" t="s">
        <v>577</v>
      </c>
      <c r="C25" s="353"/>
      <c r="D25" s="353"/>
      <c r="E25" s="354"/>
    </row>
    <row r="26" spans="1:8" s="4" customFormat="1" ht="29.25" customHeight="1" x14ac:dyDescent="0.25">
      <c r="A26" s="6"/>
      <c r="B26" s="586" t="s">
        <v>625</v>
      </c>
      <c r="C26" s="567"/>
      <c r="D26" s="568"/>
      <c r="E26" s="177" t="str">
        <f>IF(Dohodak_5="","",IF(N(Dohodak_5)=0,0,N(Dohodak_4_3_3)/N(Dohodak_5)))</f>
        <v/>
      </c>
      <c r="F26" s="69"/>
      <c r="H26" s="69"/>
    </row>
    <row r="27" spans="1:8" s="4" customFormat="1" ht="29.25" customHeight="1" x14ac:dyDescent="0.25">
      <c r="A27" s="6"/>
      <c r="B27" s="588" t="s">
        <v>608</v>
      </c>
      <c r="C27" s="589"/>
      <c r="D27" s="179">
        <v>12</v>
      </c>
      <c r="E27" s="190" t="str">
        <f>IF(Osnovica_9_5_2&amp;Osnovica_9_5_3="","",E38)</f>
        <v/>
      </c>
      <c r="F27" s="69"/>
      <c r="H27" s="69"/>
    </row>
    <row r="28" spans="1:8" s="4" customFormat="1" ht="12.75" x14ac:dyDescent="0.25">
      <c r="A28" s="5"/>
      <c r="H28" s="69"/>
    </row>
    <row r="29" spans="1:8" s="69" customFormat="1" ht="27" customHeight="1" x14ac:dyDescent="0.25">
      <c r="A29" s="6"/>
      <c r="B29" s="581" t="s">
        <v>634</v>
      </c>
      <c r="C29" s="530"/>
      <c r="D29" s="530"/>
      <c r="E29" s="530"/>
    </row>
    <row r="30" spans="1:8" s="69" customFormat="1" ht="27" customHeight="1" x14ac:dyDescent="0.25">
      <c r="A30" s="6"/>
      <c r="B30" s="581" t="s">
        <v>635</v>
      </c>
      <c r="C30" s="530"/>
      <c r="D30" s="530"/>
      <c r="E30" s="530"/>
    </row>
    <row r="31" spans="1:8" s="4" customFormat="1" ht="33" customHeight="1" x14ac:dyDescent="0.25">
      <c r="A31" s="6"/>
      <c r="B31" s="581" t="s">
        <v>632</v>
      </c>
      <c r="C31" s="530"/>
      <c r="D31" s="530"/>
      <c r="E31" s="530"/>
      <c r="F31" s="69"/>
      <c r="H31" s="69"/>
    </row>
    <row r="32" spans="1:8" s="4" customFormat="1" ht="12.75" x14ac:dyDescent="0.25">
      <c r="A32" s="5"/>
      <c r="E32" s="173" t="s">
        <v>663</v>
      </c>
      <c r="H32" s="69"/>
    </row>
    <row r="33" spans="1:8" s="4" customFormat="1" ht="24" customHeight="1" x14ac:dyDescent="0.25">
      <c r="A33" s="5"/>
      <c r="H33" s="69"/>
    </row>
    <row r="34" spans="1:8" s="4" customFormat="1" ht="12.75" hidden="1" x14ac:dyDescent="0.25">
      <c r="A34" s="5"/>
      <c r="H34" s="69"/>
    </row>
    <row r="35" spans="1:8" s="4" customFormat="1" ht="13.5" hidden="1" thickBot="1" x14ac:dyDescent="0.3">
      <c r="A35" s="5"/>
      <c r="H35" s="69"/>
    </row>
    <row r="36" spans="1:8" s="4" customFormat="1" ht="24.75" hidden="1" customHeight="1" x14ac:dyDescent="0.25">
      <c r="A36" s="6"/>
      <c r="B36" s="598" t="s">
        <v>659</v>
      </c>
      <c r="C36" s="599"/>
      <c r="D36" s="221">
        <v>0.15</v>
      </c>
      <c r="E36" s="609">
        <f>MIN(GranicaOsnoviceZa1StopuPoreza,N(Osnovica_9_4_3))</f>
        <v>0</v>
      </c>
      <c r="F36" s="69"/>
      <c r="H36" s="69"/>
    </row>
    <row r="37" spans="1:8" s="4" customFormat="1" ht="24.75" hidden="1" customHeight="1" thickBot="1" x14ac:dyDescent="0.3">
      <c r="A37" s="6"/>
      <c r="B37" s="600" t="s">
        <v>659</v>
      </c>
      <c r="C37" s="601"/>
      <c r="D37" s="222">
        <v>0.25</v>
      </c>
      <c r="E37" s="610">
        <f>N(Osnovica_9_4_3) - E36</f>
        <v>0</v>
      </c>
      <c r="F37" s="69"/>
      <c r="H37" s="69"/>
    </row>
    <row r="38" spans="1:8" s="4" customFormat="1" ht="24.75" hidden="1" customHeight="1" thickBot="1" x14ac:dyDescent="0.3">
      <c r="A38" s="6"/>
      <c r="B38" s="596" t="s">
        <v>607</v>
      </c>
      <c r="C38" s="597"/>
      <c r="D38" s="612"/>
      <c r="E38" s="611">
        <f>(N(OsnovicaZaPredujam1)*StopaZaPredujam1+N(OsnovicaZaPredujam2)*StopaZaPredujam2)*N(Udio_9_7_1)/N(Mjeseci_9_7_2)</f>
        <v>0</v>
      </c>
      <c r="F38" s="69"/>
      <c r="H38" s="69"/>
    </row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</sheetData>
  <sheetProtection algorithmName="SHA-512" hashValue="rgCikSvjiu5Q3HLvl0mvfDw1HjTzVvDDSlJZfw8FE65cLi2LL6Lv+tgH1swOpTDe6MQPMiVZiTvW3uDpJKTAsA==" saltValue="gOrgE4WagDtRfQlM+1T8XA==" spinCount="100000" sheet="1" objects="1" scenarios="1"/>
  <mergeCells count="30">
    <mergeCell ref="B36:C36"/>
    <mergeCell ref="B37:C37"/>
    <mergeCell ref="B38:D38"/>
    <mergeCell ref="B31:E31"/>
    <mergeCell ref="B27:C27"/>
    <mergeCell ref="B4:D4"/>
    <mergeCell ref="B7:D7"/>
    <mergeCell ref="B6:D6"/>
    <mergeCell ref="B9:E9"/>
    <mergeCell ref="B29:E29"/>
    <mergeCell ref="B23:D23"/>
    <mergeCell ref="B25:E25"/>
    <mergeCell ref="B21:D21"/>
    <mergeCell ref="B14:D14"/>
    <mergeCell ref="B16:D16"/>
    <mergeCell ref="B2:C2"/>
    <mergeCell ref="B3:C3"/>
    <mergeCell ref="B1:E1"/>
    <mergeCell ref="B30:E30"/>
    <mergeCell ref="B19:D19"/>
    <mergeCell ref="B20:D20"/>
    <mergeCell ref="B11:D11"/>
    <mergeCell ref="B12:D12"/>
    <mergeCell ref="B13:D13"/>
    <mergeCell ref="B18:D18"/>
    <mergeCell ref="B10:D10"/>
    <mergeCell ref="B26:D26"/>
    <mergeCell ref="B22:D22"/>
    <mergeCell ref="B15:D15"/>
    <mergeCell ref="B17:D17"/>
  </mergeCells>
  <dataValidations disablePrompts="1" count="2">
    <dataValidation type="list" allowBlank="1" showInputMessage="1" showErrorMessage="1" sqref="C5" xr:uid="{00000000-0002-0000-0800-000000000000}">
      <formula1>PrirezMjesto</formula1>
    </dataValidation>
    <dataValidation type="list" allowBlank="1" showInputMessage="1" showErrorMessage="1" error="Broj mjeseci mora biti cijeli broj!" sqref="D27" xr:uid="{00000000-0002-0000-08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9          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135</vt:i4>
      </vt:variant>
    </vt:vector>
  </HeadingPairs>
  <TitlesOfParts>
    <vt:vector size="147" baseType="lpstr">
      <vt:lpstr>Str. 1</vt:lpstr>
      <vt:lpstr>Str. 2</vt:lpstr>
      <vt:lpstr>Str. 3</vt:lpstr>
      <vt:lpstr>Str. 4</vt:lpstr>
      <vt:lpstr>Str. 5</vt:lpstr>
      <vt:lpstr>Str. 6</vt:lpstr>
      <vt:lpstr>Str. 7</vt:lpstr>
      <vt:lpstr>Str. 8</vt:lpstr>
      <vt:lpstr>Str. 9</vt:lpstr>
      <vt:lpstr>uputa</vt:lpstr>
      <vt:lpstr>podaci</vt:lpstr>
      <vt:lpstr>bilješke</vt:lpstr>
      <vt:lpstr>DaNe</vt:lpstr>
      <vt:lpstr>Dohodak_4_1_1</vt:lpstr>
      <vt:lpstr>Dohodak_4_1_2</vt:lpstr>
      <vt:lpstr>Dohodak_4_1_3</vt:lpstr>
      <vt:lpstr>Dohodak_4_1_4</vt:lpstr>
      <vt:lpstr>Dohodak_4_1_5</vt:lpstr>
      <vt:lpstr>Dohodak_4_1_6</vt:lpstr>
      <vt:lpstr>Dohodak_4_1_7</vt:lpstr>
      <vt:lpstr>Dohodak_4_2_1</vt:lpstr>
      <vt:lpstr>Dohodak_4_2_2</vt:lpstr>
      <vt:lpstr>Dohodak_4_2_3</vt:lpstr>
      <vt:lpstr>Dohodak_4_3_1</vt:lpstr>
      <vt:lpstr>Dohodak_4_3_3</vt:lpstr>
      <vt:lpstr>Dohodak_4_3_7_1</vt:lpstr>
      <vt:lpstr>Dohodak_4_3_7_2</vt:lpstr>
      <vt:lpstr>Dohodak_4_3_8_5</vt:lpstr>
      <vt:lpstr>Dohodak_4_3_8_6</vt:lpstr>
      <vt:lpstr>Dohodak_5</vt:lpstr>
      <vt:lpstr>Dohodak_9_4_1</vt:lpstr>
      <vt:lpstr>Doprinos_4_3_8_10</vt:lpstr>
      <vt:lpstr>Doprinos_4_3_8_11</vt:lpstr>
      <vt:lpstr>Doprinos_4_3_8_9</vt:lpstr>
      <vt:lpstr>GodOsnovicaZaObvDoprinosa</vt:lpstr>
      <vt:lpstr>GranicaOsnoviceZa1StopuPoreza</vt:lpstr>
      <vt:lpstr>Gubitak_4_3_1</vt:lpstr>
      <vt:lpstr>GubitakGodina</vt:lpstr>
      <vt:lpstr>Inozemni_4_1_3</vt:lpstr>
      <vt:lpstr>Inozemni_4_1_4</vt:lpstr>
      <vt:lpstr>Inozemni_4_1_6</vt:lpstr>
      <vt:lpstr>Inozemni_4_1_7</vt:lpstr>
      <vt:lpstr>Inozemni_4_2_2</vt:lpstr>
      <vt:lpstr>Inozemni_4_2_3</vt:lpstr>
      <vt:lpstr>Inozemni_4_3_1</vt:lpstr>
      <vt:lpstr>Inozemni_4_3_3</vt:lpstr>
      <vt:lpstr>Inozemni_5</vt:lpstr>
      <vt:lpstr>Invalid</vt:lpstr>
      <vt:lpstr>Iznos_4_1_8_1</vt:lpstr>
      <vt:lpstr>Iznos_4_1_8_2</vt:lpstr>
      <vt:lpstr>MaxOdbitak</vt:lpstr>
      <vt:lpstr>Mjeseci</vt:lpstr>
      <vt:lpstr>Mjeseci_4_3_8_3</vt:lpstr>
      <vt:lpstr>Mjeseci_4_3_8_4</vt:lpstr>
      <vt:lpstr>Mjeseci_9_7_2</vt:lpstr>
      <vt:lpstr>Mjesto_9_5_8</vt:lpstr>
      <vt:lpstr>Odbitak</vt:lpstr>
      <vt:lpstr>Odbitak_3_3</vt:lpstr>
      <vt:lpstr>Odbitak_9_1</vt:lpstr>
      <vt:lpstr>Odbitak_9_2</vt:lpstr>
      <vt:lpstr>Odbitak_9_3</vt:lpstr>
      <vt:lpstr>Odbitak_9_4_2</vt:lpstr>
      <vt:lpstr>OIB</vt:lpstr>
      <vt:lpstr>Osnovica_4_3_8_7</vt:lpstr>
      <vt:lpstr>Osnovica_4_3_8_8</vt:lpstr>
      <vt:lpstr>Osnovica_9_4_3</vt:lpstr>
      <vt:lpstr>Osnovica_9_5_1</vt:lpstr>
      <vt:lpstr>Osnovica_9_5_2</vt:lpstr>
      <vt:lpstr>Osnovica_9_5_3</vt:lpstr>
      <vt:lpstr>OsnovicaZaPredujam1</vt:lpstr>
      <vt:lpstr>OsnovicaZaPredujam2</vt:lpstr>
      <vt:lpstr>'Str. 1'!Podrucje_ispisa</vt:lpstr>
      <vt:lpstr>'Str. 2'!Podrucje_ispisa</vt:lpstr>
      <vt:lpstr>'Str. 3'!Podrucje_ispisa</vt:lpstr>
      <vt:lpstr>'Str. 4'!Podrucje_ispisa</vt:lpstr>
      <vt:lpstr>'Str. 5'!Podrucje_ispisa</vt:lpstr>
      <vt:lpstr>'Str. 6'!Podrucje_ispisa</vt:lpstr>
      <vt:lpstr>'Str. 7'!Podrucje_ispisa</vt:lpstr>
      <vt:lpstr>'Str. 8'!Podrucje_ispisa</vt:lpstr>
      <vt:lpstr>'Str. 9'!Podrucje_ispisa</vt:lpstr>
      <vt:lpstr>uputa!Podrucje_ispisa</vt:lpstr>
      <vt:lpstr>Porez_4_1_1</vt:lpstr>
      <vt:lpstr>Porez_4_1_2</vt:lpstr>
      <vt:lpstr>Porez_4_1_5</vt:lpstr>
      <vt:lpstr>Porez_4_2_1</vt:lpstr>
      <vt:lpstr>Porez_9_5_4</vt:lpstr>
      <vt:lpstr>Porez_9_5_5</vt:lpstr>
      <vt:lpstr>Porez_9_5_6</vt:lpstr>
      <vt:lpstr>Porez_9_5_8</vt:lpstr>
      <vt:lpstr>Porez_9_6_10</vt:lpstr>
      <vt:lpstr>Porez_9_6_11</vt:lpstr>
      <vt:lpstr>Porez_9_6_12</vt:lpstr>
      <vt:lpstr>Porez_9_6_8</vt:lpstr>
      <vt:lpstr>PPDS</vt:lpstr>
      <vt:lpstr>Predujam_9_6_9</vt:lpstr>
      <vt:lpstr>Predujam_9_7_2</vt:lpstr>
      <vt:lpstr>Prirez_9_5_7</vt:lpstr>
      <vt:lpstr>PrirezListaGradova</vt:lpstr>
      <vt:lpstr>PrirezMjesto</vt:lpstr>
      <vt:lpstr>PrirezOdabir</vt:lpstr>
      <vt:lpstr>PrirezRbr</vt:lpstr>
      <vt:lpstr>PrirezStopa</vt:lpstr>
      <vt:lpstr>SljedecaGodina</vt:lpstr>
      <vt:lpstr>Stopa_1</vt:lpstr>
      <vt:lpstr>Stopa_2</vt:lpstr>
      <vt:lpstr>Stopa_4_3_8_10</vt:lpstr>
      <vt:lpstr>Stopa_4_3_8_11</vt:lpstr>
      <vt:lpstr>Stopa_4_3_8_9</vt:lpstr>
      <vt:lpstr>Stopa_9_5_7</vt:lpstr>
      <vt:lpstr>Stopa_9_5_9</vt:lpstr>
      <vt:lpstr>StopaZaPredujam1</vt:lpstr>
      <vt:lpstr>StopaZaPredujam2</vt:lpstr>
      <vt:lpstr>Stupanj_4_1_8_1</vt:lpstr>
      <vt:lpstr>Stupanj_4_1_8_2</vt:lpstr>
      <vt:lpstr>Tuzemni_4_1_3</vt:lpstr>
      <vt:lpstr>Tuzemni_4_1_4</vt:lpstr>
      <vt:lpstr>Tuzemni_4_1_6</vt:lpstr>
      <vt:lpstr>Tuzemni_4_1_7</vt:lpstr>
      <vt:lpstr>Tuzemni_4_2_2</vt:lpstr>
      <vt:lpstr>Tuzemni_4_2_3</vt:lpstr>
      <vt:lpstr>Tuzemni_4_3_1</vt:lpstr>
      <vt:lpstr>Tuzemni_4_3_3</vt:lpstr>
      <vt:lpstr>Tuzemni_5</vt:lpstr>
      <vt:lpstr>Udio_4_1_2</vt:lpstr>
      <vt:lpstr>Udio_4_1_4</vt:lpstr>
      <vt:lpstr>Udio_4_1_5</vt:lpstr>
      <vt:lpstr>Udio_4_1_6</vt:lpstr>
      <vt:lpstr>Udio_4_1_8_1</vt:lpstr>
      <vt:lpstr>Udio_4_1_8_2</vt:lpstr>
      <vt:lpstr>Udio_4_3_7_1</vt:lpstr>
      <vt:lpstr>Udio_4_3_7_2</vt:lpstr>
      <vt:lpstr>Udio_9_7_1</vt:lpstr>
      <vt:lpstr>Udio_9_7_1a</vt:lpstr>
      <vt:lpstr>Ukupno_4_3_5</vt:lpstr>
      <vt:lpstr>Umanjenje_4_3_2</vt:lpstr>
      <vt:lpstr>Umanjenje_9_6_1</vt:lpstr>
      <vt:lpstr>Umanjenje_9_6_2</vt:lpstr>
      <vt:lpstr>Umanjenje_9_6_3</vt:lpstr>
      <vt:lpstr>Umanjenje_9_6_4</vt:lpstr>
      <vt:lpstr>Umanjenje_9_6_5</vt:lpstr>
      <vt:lpstr>Umanjenje_9_6_6</vt:lpstr>
      <vt:lpstr>Umanjenje_9_6_7</vt:lpstr>
      <vt:lpstr>UpisP</vt:lpstr>
      <vt:lpstr>UvecanjeOsnovnogOsobnogOdbitka</vt:lpstr>
      <vt:lpstr>ZaGodinu</vt:lpstr>
      <vt:lpstr>ZaPovrat_9_6_14</vt:lpstr>
      <vt:lpstr>ZaUplatu_9_6_13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Tisljar</cp:lastModifiedBy>
  <cp:lastPrinted>2023-01-10T13:58:38Z</cp:lastPrinted>
  <dcterms:created xsi:type="dcterms:W3CDTF">2011-01-16T22:40:28Z</dcterms:created>
  <dcterms:modified xsi:type="dcterms:W3CDTF">2024-01-22T09:36:56Z</dcterms:modified>
</cp:coreProperties>
</file>